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wmf" ContentType="image/x-w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7.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Teacher\Desktop\Calculation sheets\New\"/>
    </mc:Choice>
  </mc:AlternateContent>
  <bookViews>
    <workbookView xWindow="-105" yWindow="-105" windowWidth="18465" windowHeight="11025" tabRatio="808" firstSheet="1" activeTab="1"/>
  </bookViews>
  <sheets>
    <sheet name="Workbook Description" sheetId="39" state="hidden" r:id="rId1"/>
    <sheet name="Cover" sheetId="50" r:id="rId2"/>
    <sheet name="Change Log" sheetId="44" r:id="rId3"/>
    <sheet name="Objectives" sheetId="49" r:id="rId4"/>
    <sheet name="Attitude Control - Torques" sheetId="4" r:id="rId5"/>
    <sheet name="Modes" sheetId="45" r:id="rId6"/>
    <sheet name="Attitude Control - Sizing" sheetId="5" r:id="rId7"/>
    <sheet name="ProductTreeMain" sheetId="46" r:id="rId8"/>
    <sheet name="Trade_off" sheetId="48" r:id="rId9"/>
    <sheet name="Constants" sheetId="41" r:id="rId10"/>
  </sheets>
  <functionGroups builtInGroupCount="18"/>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AU" localSheetId="1">#REF!</definedName>
    <definedName name="_1AU" localSheetId="3">#REF!</definedName>
    <definedName name="_1AU" localSheetId="7">#REF!</definedName>
    <definedName name="_1AU" localSheetId="8">#REF!</definedName>
    <definedName name="_1AU">#REF!</definedName>
    <definedName name="_ecc2" localSheetId="1">#REF!</definedName>
    <definedName name="_ecc2" localSheetId="8">#REF!</definedName>
    <definedName name="_ecc2">#REF!</definedName>
    <definedName name="absolute_zero" localSheetId="1">#REF!</definedName>
    <definedName name="absolute_zero" localSheetId="7">#REF!</definedName>
    <definedName name="absolute_zero" localSheetId="8">#REF!</definedName>
    <definedName name="absolute_zero">#REF!</definedName>
    <definedName name="anscount" hidden="1">6</definedName>
    <definedName name="AOGNC\m\\">[1]Parameters!$I$2</definedName>
    <definedName name="AOGNC\P\\">[1]Parameters!$I$4</definedName>
    <definedName name="AOGNC\P_duty_cyc\\">[1]Parameters!$I$5</definedName>
    <definedName name="Aperture_diameter">'[2]Obs Payload - Optics'!$D$35</definedName>
    <definedName name="atto" localSheetId="1">#REF!</definedName>
    <definedName name="atto" localSheetId="7">#REF!</definedName>
    <definedName name="atto" localSheetId="8">#REF!</definedName>
    <definedName name="atto">#REF!</definedName>
    <definedName name="AU" localSheetId="1">#REF!</definedName>
    <definedName name="AU" localSheetId="8">#REF!</definedName>
    <definedName name="AU">#REF!</definedName>
    <definedName name="Author">" "</definedName>
    <definedName name="bmsAddress">""</definedName>
    <definedName name="bmsPhoneFax">""</definedName>
    <definedName name="bmsSitename">""</definedName>
    <definedName name="bmsSitename2">""</definedName>
    <definedName name="Boltzmann_Constant" localSheetId="9">Constants!$B$3</definedName>
    <definedName name="Boltzmann_Constant" localSheetId="7">#REF!</definedName>
    <definedName name="Boltzmann_Constant" localSheetId="8">[3]Constants!$B$3</definedName>
    <definedName name="Boltzmann_Constant">[3]Constants!$B$3</definedName>
    <definedName name="c0" localSheetId="3">#REF!</definedName>
    <definedName name="c0">Constants!$B$1</definedName>
    <definedName name="CDH\m\\">[1]Parameters!$I$6</definedName>
    <definedName name="CDH\P\\">[1]Parameters!$I$8</definedName>
    <definedName name="CDH\P_duty_cyc\\">[1]Parameters!$I$9</definedName>
    <definedName name="cellname_SUB_aa">[4]Subsystem!$B$13</definedName>
    <definedName name="cellname_SUB_bb">[4]Subsystem!$B$10</definedName>
    <definedName name="cellname_SUB_cc">[4]Subsystem!$B$11</definedName>
    <definedName name="cellname_SUB_dd">[4]Subsystem!$B$12</definedName>
    <definedName name="centi" localSheetId="1">#REF!</definedName>
    <definedName name="centi" localSheetId="7">#REF!</definedName>
    <definedName name="centi" localSheetId="8">#REF!</definedName>
    <definedName name="centi">#REF!</definedName>
    <definedName name="Classification">"ESA UNCLASSIFIED - For Official Use"</definedName>
    <definedName name="Classification_Caveat">" "</definedName>
    <definedName name="COMM\m\\">[1]Parameters!$I$10</definedName>
    <definedName name="COMM\P\\">[1]Parameters!$I$12</definedName>
    <definedName name="COMM\P_duty_cyc\\">[1]Parameters!$I$13</definedName>
    <definedName name="Comments">" "</definedName>
    <definedName name="Company">"ESA"</definedName>
    <definedName name="conversion_inch2m" localSheetId="1">#REF!</definedName>
    <definedName name="conversion_inch2m" localSheetId="7">#REF!</definedName>
    <definedName name="conversion_inch2m" localSheetId="8">#REF!</definedName>
    <definedName name="conversion_inch2m">#REF!</definedName>
    <definedName name="Current_Magnetic_Torquer" localSheetId="1">'[12]Attitude Control - Sizing'!$Q$66</definedName>
    <definedName name="Current_Magnetic_Torquer" localSheetId="8">'[5]Attitude Control - Sizing'!$Q$66</definedName>
    <definedName name="Current_Magnetic_Torquer">'Attitude Control - Sizing'!$Q$66</definedName>
    <definedName name="DBname" localSheetId="1">#REF!</definedName>
    <definedName name="DBname" localSheetId="7">#REF!</definedName>
    <definedName name="DBname" localSheetId="8">#REF!</definedName>
    <definedName name="DBname">#REF!</definedName>
    <definedName name="deci" localSheetId="1">#REF!</definedName>
    <definedName name="deci" localSheetId="7">#REF!</definedName>
    <definedName name="deci" localSheetId="8">#REF!</definedName>
    <definedName name="deci">#REF!</definedName>
    <definedName name="deg" localSheetId="1">#REF!</definedName>
    <definedName name="deg" localSheetId="8">#REF!</definedName>
    <definedName name="deg">#REF!</definedName>
    <definedName name="degpermin" localSheetId="1">#REF!</definedName>
    <definedName name="degpermin" localSheetId="8">#REF!</definedName>
    <definedName name="degpermin">#REF!</definedName>
    <definedName name="degpermin2" localSheetId="1">#REF!</definedName>
    <definedName name="degpermin2" localSheetId="8">#REF!</definedName>
    <definedName name="degpermin2">#REF!</definedName>
    <definedName name="deka" localSheetId="1">#REF!</definedName>
    <definedName name="deka" localSheetId="7">#REF!</definedName>
    <definedName name="deka" localSheetId="8">#REF!</definedName>
    <definedName name="deka">#REF!</definedName>
    <definedName name="departureplanet_OrbitRadius" localSheetId="1">[13]Constants!$B$9</definedName>
    <definedName name="departureplanet_OrbitRadius">[6]Constants!$B$9</definedName>
    <definedName name="Distribution">" "</definedName>
    <definedName name="Document_type">" "</definedName>
    <definedName name="Earth_conv_IGRF_radi" localSheetId="1">#REF!</definedName>
    <definedName name="Earth_conv_IGRF_radi" localSheetId="7">#REF!</definedName>
    <definedName name="Earth_conv_IGRF_radi" localSheetId="8">#REF!</definedName>
    <definedName name="Earth_conv_IGRF_radi">#REF!</definedName>
    <definedName name="Earth_dyn_form_factor" localSheetId="1">#REF!</definedName>
    <definedName name="Earth_dyn_form_factor" localSheetId="7">#REF!</definedName>
    <definedName name="Earth_dyn_form_factor" localSheetId="8">#REF!</definedName>
    <definedName name="Earth_dyn_form_factor">#REF!</definedName>
    <definedName name="Earth_equator_radi" localSheetId="1">#REF!</definedName>
    <definedName name="Earth_equator_radi" localSheetId="7">#REF!</definedName>
    <definedName name="Earth_equator_radi" localSheetId="8">#REF!</definedName>
    <definedName name="Earth_equator_radi">#REF!</definedName>
    <definedName name="Earth_flattening_factor" localSheetId="1">#REF!</definedName>
    <definedName name="Earth_flattening_factor" localSheetId="7">#REF!</definedName>
    <definedName name="Earth_flattening_factor" localSheetId="8">#REF!</definedName>
    <definedName name="Earth_flattening_factor">#REF!</definedName>
    <definedName name="Earth_J2" localSheetId="9">Constants!$B$20</definedName>
    <definedName name="Earth_J2" localSheetId="1">#REF!</definedName>
    <definedName name="Earth_J2" localSheetId="3">[7]Constants!#REF!</definedName>
    <definedName name="Earth_J2" localSheetId="7">#REF!</definedName>
    <definedName name="Earth_J2">#REF!</definedName>
    <definedName name="Earth_Mag_Moment" localSheetId="9">Constants!$B$28</definedName>
    <definedName name="Earth_Mag_Moment" localSheetId="1">[12]Constants!$B$28</definedName>
    <definedName name="Earth_Mag_Moment" localSheetId="3">[7]Constants!#REF!</definedName>
    <definedName name="Earth_Mag_Moment" localSheetId="7">#REF!</definedName>
    <definedName name="Earth_Mag_Moment" localSheetId="8">#REF!</definedName>
    <definedName name="Earth_Mag_Moment">Constants!$B$28</definedName>
    <definedName name="Earth_mass" localSheetId="1">#REF!</definedName>
    <definedName name="Earth_mass" localSheetId="7">#REF!</definedName>
    <definedName name="Earth_mass" localSheetId="8">#REF!</definedName>
    <definedName name="Earth_mass">#REF!</definedName>
    <definedName name="Earth_mean_radi" localSheetId="1">#REF!</definedName>
    <definedName name="Earth_mean_radi" localSheetId="7">#REF!</definedName>
    <definedName name="Earth_mean_radi" localSheetId="8">#REF!</definedName>
    <definedName name="Earth_mean_radi">#REF!</definedName>
    <definedName name="Earth_Mu" localSheetId="9">Constants!$B$12</definedName>
    <definedName name="Earth_Mu" localSheetId="1">[12]Constants!$B$12</definedName>
    <definedName name="Earth_Mu" localSheetId="7">[8]Constants!$B$7</definedName>
    <definedName name="Earth_Mu" localSheetId="8">[9]Constants!$B$12</definedName>
    <definedName name="Earth_Mu">Constants!$B$12</definedName>
    <definedName name="Earth_obl_coeff" localSheetId="1">#REF!</definedName>
    <definedName name="Earth_obl_coeff" localSheetId="7">#REF!</definedName>
    <definedName name="Earth_obl_coeff" localSheetId="8">#REF!</definedName>
    <definedName name="Earth_obl_coeff">#REF!</definedName>
    <definedName name="Earth_OrbitRadius">Constants!$B$9</definedName>
    <definedName name="Earth_OrbPeriod">Constants!$B$10</definedName>
    <definedName name="Earth_pole_radi" localSheetId="1">#REF!</definedName>
    <definedName name="Earth_pole_radi" localSheetId="7">#REF!</definedName>
    <definedName name="Earth_pole_radi" localSheetId="8">#REF!</definedName>
    <definedName name="Earth_pole_radi">#REF!</definedName>
    <definedName name="Earth_Radius" localSheetId="9">Constants!$B$11</definedName>
    <definedName name="Earth_Radius" localSheetId="1">[12]Constants!$B$11</definedName>
    <definedName name="Earth_Radius" localSheetId="7">[8]Constants!$B$6</definedName>
    <definedName name="Earth_Radius" localSheetId="8">[9]Constants!$B$11</definedName>
    <definedName name="Earth_Radius">Constants!$B$11</definedName>
    <definedName name="Earth_rotation_rate" localSheetId="1">#REF!</definedName>
    <definedName name="Earth_rotation_rate" localSheetId="7">#REF!</definedName>
    <definedName name="Earth_rotation_rate" localSheetId="8">#REF!</definedName>
    <definedName name="Earth_rotation_rate">#REF!</definedName>
    <definedName name="Earth_SidDay">Constants!$B$13</definedName>
    <definedName name="Earth_SolarDay">Constants!$B$14</definedName>
    <definedName name="Earth_Vel" localSheetId="9">Constants!$B$27</definedName>
    <definedName name="Earth_Vel" localSheetId="1">#REF!</definedName>
    <definedName name="Earth_Vel" localSheetId="3">[7]Constants!#REF!</definedName>
    <definedName name="Earth_Vel" localSheetId="7">#REF!</definedName>
    <definedName name="Earth_Vel">#REF!</definedName>
    <definedName name="ecc" localSheetId="1">#REF!</definedName>
    <definedName name="ecc" localSheetId="3">#REF!</definedName>
    <definedName name="ecc" localSheetId="8">#REF!</definedName>
    <definedName name="ecc">#REF!</definedName>
    <definedName name="elementary_charge" localSheetId="1">#REF!</definedName>
    <definedName name="elementary_charge" localSheetId="7">#REF!</definedName>
    <definedName name="elementary_charge" localSheetId="8">#REF!</definedName>
    <definedName name="elementary_charge">#REF!</definedName>
    <definedName name="EPS\m\\">[1]Parameters!$I$14</definedName>
    <definedName name="EPS\P\\">[1]Parameters!$I$16</definedName>
    <definedName name="EPS\P_duty_cyc\\">[1]Parameters!$I$17</definedName>
    <definedName name="exa" localSheetId="1">#REF!</definedName>
    <definedName name="exa" localSheetId="7">#REF!</definedName>
    <definedName name="exa" localSheetId="8">#REF!</definedName>
    <definedName name="exa">#REF!</definedName>
    <definedName name="femto" localSheetId="1">#REF!</definedName>
    <definedName name="femto" localSheetId="7">#REF!</definedName>
    <definedName name="femto" localSheetId="8">#REF!</definedName>
    <definedName name="femto">#REF!</definedName>
    <definedName name="Focal_length">'[2]Obs Payload - Optics'!$D$36</definedName>
    <definedName name="g" localSheetId="1">#REF!</definedName>
    <definedName name="g" localSheetId="7">#REF!</definedName>
    <definedName name="g" localSheetId="8">#REF!</definedName>
    <definedName name="g">#REF!</definedName>
    <definedName name="G_Universal" localSheetId="1">#REF!</definedName>
    <definedName name="G_Universal" localSheetId="7">#REF!</definedName>
    <definedName name="G_Universal" localSheetId="8">#REF!</definedName>
    <definedName name="G_Universal">#REF!</definedName>
    <definedName name="giga" localSheetId="1">#REF!</definedName>
    <definedName name="giga" localSheetId="7">#REF!</definedName>
    <definedName name="giga" localSheetId="8">#REF!</definedName>
    <definedName name="giga">#REF!</definedName>
    <definedName name="GM_Earth" localSheetId="1">#REF!</definedName>
    <definedName name="GM_Earth" localSheetId="7">#REF!</definedName>
    <definedName name="GM_Earth" localSheetId="8">#REF!</definedName>
    <definedName name="GM_Earth">#REF!</definedName>
    <definedName name="GM_Mars" localSheetId="1">#REF!</definedName>
    <definedName name="GM_Mars" localSheetId="7">#REF!</definedName>
    <definedName name="GM_Mars" localSheetId="8">#REF!</definedName>
    <definedName name="GM_Mars">#REF!</definedName>
    <definedName name="GM_Moon" localSheetId="1">#REF!</definedName>
    <definedName name="GM_Moon" localSheetId="7">#REF!</definedName>
    <definedName name="GM_Moon" localSheetId="8">#REF!</definedName>
    <definedName name="GM_Moon">#REF!</definedName>
    <definedName name="GM_Sun" localSheetId="1">#REF!</definedName>
    <definedName name="GM_Sun" localSheetId="7">#REF!</definedName>
    <definedName name="GM_Sun" localSheetId="8">#REF!</definedName>
    <definedName name="GM_Sun">#REF!</definedName>
    <definedName name="hecto" localSheetId="1">#REF!</definedName>
    <definedName name="hecto" localSheetId="7">#REF!</definedName>
    <definedName name="hecto" localSheetId="8">#REF!</definedName>
    <definedName name="hecto">#REF!</definedName>
    <definedName name="hgeo" localSheetId="1">#REF!</definedName>
    <definedName name="hgeo" localSheetId="8">#REF!</definedName>
    <definedName name="hgeo">#REF!</definedName>
    <definedName name="HTML_CodePage" hidden="1">1252</definedName>
    <definedName name="HTML_Control" localSheetId="1" hidden="1">{"'honey'!$A$1:$M$23"}</definedName>
    <definedName name="HTML_Control" localSheetId="3" hidden="1">{"'honey'!$A$1:$M$23"}</definedName>
    <definedName name="HTML_Control" localSheetId="7" hidden="1">{"'honey'!$A$1:$M$23"}</definedName>
    <definedName name="HTML_Control" localSheetId="8" hidden="1">{"'honey'!$A$1:$M$23"}</definedName>
    <definedName name="HTML_Control" hidden="1">{"'honey'!$A$1:$M$23"}</definedName>
    <definedName name="HTML_Controlbis" localSheetId="1" hidden="1">{"'honey'!$A$1:$M$23"}</definedName>
    <definedName name="HTML_Controlbis" localSheetId="3" hidden="1">{"'honey'!$A$1:$M$23"}</definedName>
    <definedName name="HTML_Controlbis" localSheetId="7" hidden="1">{"'honey'!$A$1:$M$23"}</definedName>
    <definedName name="HTML_Controlbis" localSheetId="8"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1">#REF!</definedName>
    <definedName name="inc" localSheetId="8">#REF!</definedName>
    <definedName name="inc">#REF!</definedName>
    <definedName name="INS\m\\">[1]Parameters!$I$18</definedName>
    <definedName name="INS\P\\">[1]Parameters!$I$20</definedName>
    <definedName name="INS\P_duty_cyc\\">[1]Parameters!$I$21</definedName>
    <definedName name="Issue">"16/07/2018"</definedName>
    <definedName name="Issue_Date" localSheetId="7">"01/01/2000"</definedName>
    <definedName name="Issue_Date">" "</definedName>
    <definedName name="jtwo" localSheetId="1">#REF!</definedName>
    <definedName name="jtwo" localSheetId="3">#REF!</definedName>
    <definedName name="jtwo" localSheetId="8">#REF!</definedName>
    <definedName name="jtwo">#REF!</definedName>
    <definedName name="K" localSheetId="1">#REF!</definedName>
    <definedName name="K" localSheetId="8">#REF!</definedName>
    <definedName name="K">#REF!</definedName>
    <definedName name="kb" localSheetId="1">#REF!</definedName>
    <definedName name="kb" localSheetId="8">#REF!</definedName>
    <definedName name="kb">#REF!</definedName>
    <definedName name="Keywords">" "</definedName>
    <definedName name="kilo" localSheetId="1">#REF!</definedName>
    <definedName name="kilo" localSheetId="7">#REF!</definedName>
    <definedName name="kilo" localSheetId="8">#REF!</definedName>
    <definedName name="kilo">#REF!</definedName>
    <definedName name="Knudot" localSheetId="1">#REF!</definedName>
    <definedName name="Knudot" localSheetId="8">#REF!</definedName>
    <definedName name="Knudot">#REF!</definedName>
    <definedName name="Knudot2" localSheetId="1">#REF!</definedName>
    <definedName name="Knudot2" localSheetId="8">#REF!</definedName>
    <definedName name="Knudot2">#REF!</definedName>
    <definedName name="light_year" localSheetId="1">#REF!</definedName>
    <definedName name="light_year" localSheetId="7">#REF!</definedName>
    <definedName name="light_year" localSheetId="8">#REF!</definedName>
    <definedName name="light_year">#REF!</definedName>
    <definedName name="Magnetic_Torquer_Mass">'Attitude Control - Sizing'!$E$66</definedName>
    <definedName name="Mars_mass" localSheetId="1">#REF!</definedName>
    <definedName name="Mars_mass" localSheetId="3">#REF!</definedName>
    <definedName name="Mars_mass" localSheetId="7">#REF!</definedName>
    <definedName name="Mars_mass" localSheetId="8">#REF!</definedName>
    <definedName name="Mars_mass">#REF!</definedName>
    <definedName name="Mars_mean_radi" localSheetId="1">#REF!</definedName>
    <definedName name="Mars_mean_radi" localSheetId="7">#REF!</definedName>
    <definedName name="Mars_mean_radi" localSheetId="8">#REF!</definedName>
    <definedName name="Mars_mean_radi">#REF!</definedName>
    <definedName name="Mass" localSheetId="1">#REF!</definedName>
    <definedName name="Mass" localSheetId="7">[8]MainTrade!#REF!</definedName>
    <definedName name="Mass" localSheetId="8">#REF!</definedName>
    <definedName name="Mass">#REF!</definedName>
    <definedName name="Max_Solar_Flux">Constants!$B$31</definedName>
    <definedName name="Maximum_slewing_angle">'Attitude Control - Torques'!$D$60</definedName>
    <definedName name="MECH\m\\">[1]Parameters!$I$22</definedName>
    <definedName name="MECH\P\\">[1]Parameters!$I$24</definedName>
    <definedName name="MECH\P_duty_cyc\\">[1]Parameters!$I$25</definedName>
    <definedName name="mega" localSheetId="1">#REF!</definedName>
    <definedName name="mega" localSheetId="7">#REF!</definedName>
    <definedName name="mega" localSheetId="8">#REF!</definedName>
    <definedName name="mega">#REF!</definedName>
    <definedName name="micro" localSheetId="1">#REF!</definedName>
    <definedName name="micro" localSheetId="7">#REF!</definedName>
    <definedName name="micro" localSheetId="8">#REF!</definedName>
    <definedName name="micro">#REF!</definedName>
    <definedName name="milli" localSheetId="1">#REF!</definedName>
    <definedName name="milli" localSheetId="7">#REF!</definedName>
    <definedName name="milli" localSheetId="8">#REF!</definedName>
    <definedName name="milli">#REF!</definedName>
    <definedName name="Minimum_maneuver_time">'Attitude Control - Torques'!$D$61</definedName>
    <definedName name="Momentum_Wheel_Mass" localSheetId="1">'[12]Attitude Control - Sizing'!$Q$20</definedName>
    <definedName name="Momentum_Wheel_Mass" localSheetId="8">'[5]Attitude Control - Sizing'!$Q$20</definedName>
    <definedName name="Momentum_Wheel_Mass">'Attitude Control - Sizing'!$Q$20</definedName>
    <definedName name="mu" localSheetId="3">#REF!</definedName>
    <definedName name="mu">Constants!$B$12</definedName>
    <definedName name="nano" localSheetId="1">#REF!</definedName>
    <definedName name="nano" localSheetId="3">#REF!</definedName>
    <definedName name="nano" localSheetId="7">#REF!</definedName>
    <definedName name="nano" localSheetId="8">#REF!</definedName>
    <definedName name="nano">#REF!</definedName>
    <definedName name="Originating_Organisation">" "</definedName>
    <definedName name="para_SUB_aa">[4]Subsystem!$A$13</definedName>
    <definedName name="para_SUB_bb">[4]Subsystem!$A$10</definedName>
    <definedName name="para_SUB_cc">[4]Subsystem!$A$11</definedName>
    <definedName name="para_SUB_dd">[4]Subsystem!$A$12</definedName>
    <definedName name="PasteSpecial" localSheetId="1">Cover!PasteSpecial</definedName>
    <definedName name="PasteSpecial" localSheetId="3">Objectives!PasteSpecial</definedName>
    <definedName name="PasteSpecial" localSheetId="7">ProductTreeMain!PasteSpecial</definedName>
    <definedName name="PasteSpecial" localSheetId="8">Trade_off!PasteSpecial</definedName>
    <definedName name="PasteSpecial">PasteSpecial</definedName>
    <definedName name="PasteSpecial_3" localSheetId="1">Cover!PasteSpecial_3</definedName>
    <definedName name="PasteSpecial_3" localSheetId="3">Objectives!PasteSpecial_3</definedName>
    <definedName name="PasteSpecial_3" localSheetId="7">ProductTreeMain!PasteSpecial_3</definedName>
    <definedName name="PasteSpecial_3" localSheetId="8">Trade_off!PasteSpecial_3</definedName>
    <definedName name="PasteSpecial_3">PasteSpecial_3</definedName>
    <definedName name="PasteSpecial_6" localSheetId="1">Cover!PasteSpecial_6</definedName>
    <definedName name="PasteSpecial_6" localSheetId="3">Objectives!PasteSpecial_6</definedName>
    <definedName name="PasteSpecial_6" localSheetId="7">ProductTreeMain!PasteSpecial_6</definedName>
    <definedName name="PasteSpecial_6" localSheetId="8">Trade_off!PasteSpecial_6</definedName>
    <definedName name="PasteSpecial_6">PasteSpecial_6</definedName>
    <definedName name="PasteSpecial_7" localSheetId="1">Cover!PasteSpecial_7</definedName>
    <definedName name="PasteSpecial_7" localSheetId="3">Objectives!PasteSpecial_7</definedName>
    <definedName name="PasteSpecial_7" localSheetId="7">ProductTreeMain!PasteSpecial_7</definedName>
    <definedName name="PasteSpecial_7" localSheetId="8">Trade_off!PasteSpecial_7</definedName>
    <definedName name="PasteSpecial_7">PasteSpecial_7</definedName>
    <definedName name="PasteSpecial_8" localSheetId="1">Cover!PasteSpecial_8</definedName>
    <definedName name="PasteSpecial_8" localSheetId="3">Objectives!PasteSpecial_8</definedName>
    <definedName name="PasteSpecial_8" localSheetId="7">ProductTreeMain!PasteSpecial_8</definedName>
    <definedName name="PasteSpecial_8" localSheetId="8">Trade_off!PasteSpecial_8</definedName>
    <definedName name="PasteSpecial_8">PasteSpecial_8</definedName>
    <definedName name="permeability_vacuum" localSheetId="1">#REF!</definedName>
    <definedName name="permeability_vacuum" localSheetId="3">#REF!</definedName>
    <definedName name="permeability_vacuum" localSheetId="7">#REF!</definedName>
    <definedName name="permeability_vacuum" localSheetId="8">#REF!</definedName>
    <definedName name="permeability_vacuum">#REF!</definedName>
    <definedName name="permittivity_vacuum" localSheetId="1">#REF!</definedName>
    <definedName name="permittivity_vacuum" localSheetId="7">#REF!</definedName>
    <definedName name="permittivity_vacuum" localSheetId="8">#REF!</definedName>
    <definedName name="permittivity_vacuum">#REF!</definedName>
    <definedName name="peta" localSheetId="1">#REF!</definedName>
    <definedName name="peta" localSheetId="7">#REF!</definedName>
    <definedName name="peta" localSheetId="8">#REF!</definedName>
    <definedName name="peta">#REF!</definedName>
    <definedName name="pi" localSheetId="1">#REF!</definedName>
    <definedName name="pi" localSheetId="7">#REF!</definedName>
    <definedName name="pi" localSheetId="8">#REF!</definedName>
    <definedName name="pi">#REF!</definedName>
    <definedName name="piko" localSheetId="1">#REF!</definedName>
    <definedName name="piko" localSheetId="7">#REF!</definedName>
    <definedName name="piko" localSheetId="8">#REF!</definedName>
    <definedName name="piko">#REF!</definedName>
    <definedName name="Planck_Constant" localSheetId="9">Constants!$B$2</definedName>
    <definedName name="Planck_Constant" localSheetId="1">#REF!</definedName>
    <definedName name="Planck_Constant" localSheetId="7">#REF!</definedName>
    <definedName name="Planck_Constant">#REF!</definedName>
    <definedName name="Planet_Albedo" localSheetId="3">[10]Constants!$B$32</definedName>
    <definedName name="Planet_Albedo" localSheetId="8">[10]Constants!$B$32</definedName>
    <definedName name="Planet_Albedo">Constants!$B$32</definedName>
    <definedName name="Planet_J2">Constants!$B$20</definedName>
    <definedName name="Planet_Mag_Moment">Constants!$B$28</definedName>
    <definedName name="Planet_MaxIR" localSheetId="8">[10]Constants!$B$29</definedName>
    <definedName name="Planet_MaxIR">Constants!$B$29</definedName>
    <definedName name="Planet_MinIR" localSheetId="8">[10]Constants!$B$30</definedName>
    <definedName name="Planet_MinIR">Constants!$B$30</definedName>
    <definedName name="Planet_MoonNode">Constants!$B$21</definedName>
    <definedName name="Planet_MoonPer">Constants!$B$23</definedName>
    <definedName name="Planet_Mu" localSheetId="7">[11]Constants!$B$19</definedName>
    <definedName name="Planet_Mu" localSheetId="8">[10]Constants!$B$19</definedName>
    <definedName name="Planet_Mu">Constants!$B$19</definedName>
    <definedName name="Planet_OrbitRadius">Constants!$B$16</definedName>
    <definedName name="Planet_OrbPeriod">Constants!$B$17</definedName>
    <definedName name="Planet_Radius" localSheetId="1">[12]Constants!$B$18</definedName>
    <definedName name="Planet_Radius" localSheetId="3">[7]Constants!$B$18</definedName>
    <definedName name="Planet_Radius" localSheetId="7">[11]Constants!$B$18</definedName>
    <definedName name="Planet_Radius" localSheetId="8">[10]Constants!$B$18</definedName>
    <definedName name="Planet_Radius">Constants!$B$18</definedName>
    <definedName name="Planet_SidDay">Constants!$B$25</definedName>
    <definedName name="Planet_SolarDay">Constants!$B$26</definedName>
    <definedName name="Planet_SunNode">Constants!$B$22</definedName>
    <definedName name="Planet_SunPer">Constants!$B$24</definedName>
    <definedName name="Planet_Vel">Constants!$B$27</definedName>
    <definedName name="plank" localSheetId="3">#REF!</definedName>
    <definedName name="plank">Constants!$B$2</definedName>
    <definedName name="Pressnt\m\\" localSheetId="1">[14]Parameters!$I$5</definedName>
    <definedName name="Pressnt\m\\">[10]Parameters!$I$5</definedName>
    <definedName name="Prop\m\\" localSheetId="8">[10]Parameters!$I$6</definedName>
    <definedName name="Prop\m\\">[1]Parameters!$I$26</definedName>
    <definedName name="Prop\P\\">[1]Parameters!$I$28</definedName>
    <definedName name="Prop\P_duty_cyc\\">[1]Parameters!$I$29</definedName>
    <definedName name="Q" localSheetId="1">#REF!</definedName>
    <definedName name="Q" localSheetId="8">#REF!</definedName>
    <definedName name="Q">#REF!</definedName>
    <definedName name="Q_2" localSheetId="1">#REF!</definedName>
    <definedName name="Q_2" localSheetId="8">#REF!</definedName>
    <definedName name="Q_2">#REF!</definedName>
    <definedName name="Q1_2" localSheetId="1">#REF!</definedName>
    <definedName name="Q1_2" localSheetId="8">#REF!</definedName>
    <definedName name="Q1_2">#REF!</definedName>
    <definedName name="RadToDeg" localSheetId="3">[9]Constants!$B$40</definedName>
    <definedName name="RadToDeg" localSheetId="8">[9]Constants!$B$40</definedName>
    <definedName name="RadToDeg">Constants!$B$40</definedName>
    <definedName name="Rain_Temp" localSheetId="9">Constants!$B$37</definedName>
    <definedName name="Rain_Temp" localSheetId="1">#REF!</definedName>
    <definedName name="Rain_Temp" localSheetId="7">#REF!</definedName>
    <definedName name="Rain_Temp">#REF!</definedName>
    <definedName name="Re" localSheetId="3">#REF!</definedName>
    <definedName name="Re">Constants!$B$11</definedName>
    <definedName name="Reaction_Wheel_Mass" localSheetId="1">'[12]Attitude Control - Sizing'!$Q$30</definedName>
    <definedName name="Reaction_Wheel_Mass" localSheetId="8">'[5]Attitude Control - Sizing'!$Q$30</definedName>
    <definedName name="Reaction_Wheel_Mass">'Attitude Control - Sizing'!$Q$30</definedName>
    <definedName name="Reaction_Wheel_Power">'Attitude Control - Sizing'!$K$30</definedName>
    <definedName name="Reference">" "</definedName>
    <definedName name="remark_SUB_aa">[4]Subsystem!$H$13</definedName>
    <definedName name="remark_SUB_bb">[4]Subsystem!$H$10</definedName>
    <definedName name="remark_SUB_cc">[4]Subsystem!$H$11</definedName>
    <definedName name="remark_SUB_dd">[4]Subsystem!$H$12</definedName>
    <definedName name="Revision">" "</definedName>
    <definedName name="rgeo" localSheetId="1">#REF!</definedName>
    <definedName name="rgeo" localSheetId="3">#REF!</definedName>
    <definedName name="rgeo" localSheetId="8">#REF!</definedName>
    <definedName name="rgeo">#REF!</definedName>
    <definedName name="sol" localSheetId="1">#REF!</definedName>
    <definedName name="sol" localSheetId="8">#REF!</definedName>
    <definedName name="sol">#REF!</definedName>
    <definedName name="Solar_Flux" localSheetId="9">Constants!$B$33</definedName>
    <definedName name="Solar_Flux" localSheetId="1">[12]Constants!$B$33</definedName>
    <definedName name="Solar_Flux" localSheetId="7">#REF!</definedName>
    <definedName name="Solar_Flux" localSheetId="8">#REF!</definedName>
    <definedName name="Solar_Flux">Constants!$B$33</definedName>
    <definedName name="solar_flux_1AU" localSheetId="1">#REF!</definedName>
    <definedName name="solar_flux_1AU" localSheetId="3">#REF!</definedName>
    <definedName name="solar_flux_1AU" localSheetId="7">#REF!</definedName>
    <definedName name="solar_flux_1AU" localSheetId="8">#REF!</definedName>
    <definedName name="solar_flux_1AU">#REF!</definedName>
    <definedName name="Solar_mass" localSheetId="1">#REF!</definedName>
    <definedName name="Solar_mass" localSheetId="7">#REF!</definedName>
    <definedName name="Solar_mass" localSheetId="8">#REF!</definedName>
    <definedName name="Solar_mass">#REF!</definedName>
    <definedName name="Solar_radius" localSheetId="1">#REF!</definedName>
    <definedName name="Solar_radius" localSheetId="7">#REF!</definedName>
    <definedName name="Solar_radius" localSheetId="8">#REF!</definedName>
    <definedName name="Solar_radius">#REF!</definedName>
    <definedName name="Spacecraft\delta_v\\" localSheetId="1">[14]Parameters!$I$2</definedName>
    <definedName name="Spacecraft\delta_v\\">[10]Parameters!$I$2</definedName>
    <definedName name="Spacecraft\mass_dry\\" localSheetId="1">[14]Parameters!$I$3</definedName>
    <definedName name="Spacecraft\mass_dry\\">[10]Parameters!$I$3</definedName>
    <definedName name="Spacecraft\mass_wet\\" localSheetId="1">[14]Parameters!$I$4</definedName>
    <definedName name="Spacecraft\mass_wet\\">[10]Parameters!$I$4</definedName>
    <definedName name="Speed_of_Light" localSheetId="9">Constants!$B$1</definedName>
    <definedName name="Speed_of_Light" localSheetId="1">[12]Constants!$B$1</definedName>
    <definedName name="Speed_of_Light" localSheetId="7">#REF!</definedName>
    <definedName name="Speed_of_Light" localSheetId="8">#REF!</definedName>
    <definedName name="Speed_of_Light">Constants!$B$1</definedName>
    <definedName name="Status">" "</definedName>
    <definedName name="Stefan_Boltzmann_Constant" localSheetId="9">Constants!$B$4</definedName>
    <definedName name="Stefan_Boltzmann_Constant" localSheetId="1">#REF!</definedName>
    <definedName name="Stefan_Boltzmann_Constant" localSheetId="7">#REF!</definedName>
    <definedName name="Stefan_Boltzmann_Constant">#REF!</definedName>
    <definedName name="Stefan_Boltzmann_Constants" localSheetId="3">[10]Constants!$B$4</definedName>
    <definedName name="Stefan_Boltzmann_Constants" localSheetId="8">[10]Constants!$B$4</definedName>
    <definedName name="Stefan_Boltzmann_Constants">Constants!$B$4</definedName>
    <definedName name="step" localSheetId="1">#REF!</definedName>
    <definedName name="step" localSheetId="3">#REF!</definedName>
    <definedName name="step" localSheetId="8">#REF!</definedName>
    <definedName name="step">#REF!</definedName>
    <definedName name="STR\m\\">[1]Parameters!$I$30</definedName>
    <definedName name="STR\P\\">[1]Parameters!$I$32</definedName>
    <definedName name="STR\P_duty_cyc\\">[1]Parameters!$I$33</definedName>
    <definedName name="SUB_aa">[4]Subsystem!$G$13</definedName>
    <definedName name="SUB_bb">[4]Subsystem!$G$10</definedName>
    <definedName name="SUB_cc">[4]Subsystem!$G$11</definedName>
    <definedName name="SUB_dd">[4]Subsystem!$G$12</definedName>
    <definedName name="Subject">" "</definedName>
    <definedName name="Sun_Mu">Constants!$B$7</definedName>
    <definedName name="Sun_radi_1AU" localSheetId="1">#REF!</definedName>
    <definedName name="Sun_radi_1AU" localSheetId="7">#REF!</definedName>
    <definedName name="Sun_radi_1AU" localSheetId="8">#REF!</definedName>
    <definedName name="Sun_radi_1AU">#REF!</definedName>
    <definedName name="temp_deep_space" localSheetId="1">#REF!</definedName>
    <definedName name="temp_deep_space" localSheetId="7">#REF!</definedName>
    <definedName name="temp_deep_space" localSheetId="8">#REF!</definedName>
    <definedName name="temp_deep_space">#REF!</definedName>
    <definedName name="tera" localSheetId="1">#REF!</definedName>
    <definedName name="tera" localSheetId="7">#REF!</definedName>
    <definedName name="tera" localSheetId="8">#REF!</definedName>
    <definedName name="tera">#REF!</definedName>
    <definedName name="THR\m\\">[1]Parameters!$I$34</definedName>
    <definedName name="THR\P\\">[1]Parameters!$I$36</definedName>
    <definedName name="THR\P_duty_cyc\\">[1]Parameters!$I$37</definedName>
    <definedName name="Thruster_Mass">'Attitude Control - Sizing'!$K$55</definedName>
    <definedName name="Thruster_Power">'Attitude Control - Sizing'!$E$55</definedName>
    <definedName name="Thrusters_Propellant_Mass">'Attitude Control - Sizing'!$Q$55</definedName>
    <definedName name="Title">""</definedName>
    <definedName name="Total_Mass_ADCS_actuators">'Attitude Control - Sizing'!$K$73</definedName>
    <definedName name="Total_Mass_ADCS_Sensors">'Attitude Control - Sizing'!$K$86</definedName>
    <definedName name="Total_Power_ADCS_actuators">'Attitude Control - Sizing'!$Q$73</definedName>
    <definedName name="Total_Power_ADCS_Sensors">'Attitude Control - Sizing'!$Q$86</definedName>
    <definedName name="tsid" localSheetId="1">#REF!</definedName>
    <definedName name="tsid" localSheetId="3">#REF!</definedName>
    <definedName name="tsid" localSheetId="8">#REF!</definedName>
    <definedName name="tsid">#REF!</definedName>
    <definedName name="units_SUB_aa">[4]Subsystem!$E$13</definedName>
    <definedName name="units_SUB_bb">[4]Subsystem!$E$10</definedName>
    <definedName name="units_SUB_cc">[4]Subsystem!$E$11</definedName>
    <definedName name="units_SUB_dd">[4]Subsystem!$E$12</definedName>
    <definedName name="ve" localSheetId="3">#REF!</definedName>
    <definedName name="ve">Constants!$B$27</definedName>
    <definedName name="yocto" localSheetId="1">#REF!</definedName>
    <definedName name="yocto" localSheetId="3">#REF!</definedName>
    <definedName name="yocto" localSheetId="7">#REF!</definedName>
    <definedName name="yocto" localSheetId="8">#REF!</definedName>
    <definedName name="yocto">#REF!</definedName>
    <definedName name="yotta" localSheetId="1">#REF!</definedName>
    <definedName name="yotta" localSheetId="7">#REF!</definedName>
    <definedName name="yotta" localSheetId="8">#REF!</definedName>
    <definedName name="yotta">#REF!</definedName>
    <definedName name="zepto" localSheetId="1">#REF!</definedName>
    <definedName name="zepto" localSheetId="7">#REF!</definedName>
    <definedName name="zepto" localSheetId="8">#REF!</definedName>
    <definedName name="zepto">#REF!</definedName>
    <definedName name="zetta" localSheetId="1">#REF!</definedName>
    <definedName name="zetta" localSheetId="7">#REF!</definedName>
    <definedName name="zetta" localSheetId="8">#REF!</definedName>
    <definedName name="zetta">#REF!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27" i="5" l="1"/>
  <c r="E62" i="5" l="1"/>
  <c r="B37" i="48" l="1"/>
  <c r="B26" i="48"/>
  <c r="M26" i="48" s="1"/>
  <c r="B25" i="48"/>
  <c r="R40" i="48" s="1"/>
  <c r="B24" i="48"/>
  <c r="P24" i="48" s="1"/>
  <c r="N23" i="48"/>
  <c r="B23" i="48"/>
  <c r="R38" i="48" s="1"/>
  <c r="N22" i="48"/>
  <c r="B22" i="48"/>
  <c r="M22" i="48" s="1"/>
  <c r="B21" i="48"/>
  <c r="B20" i="48"/>
  <c r="B35" i="48" s="1"/>
  <c r="B19" i="48"/>
  <c r="E16" i="48" s="1"/>
  <c r="B18" i="48"/>
  <c r="B33" i="48" s="1"/>
  <c r="B17" i="48"/>
  <c r="J16" i="48"/>
  <c r="J21" i="48" s="1"/>
  <c r="G24" i="48" s="1"/>
  <c r="S13" i="48"/>
  <c r="Q13" i="48"/>
  <c r="O13" i="48"/>
  <c r="M13" i="48"/>
  <c r="K13" i="48"/>
  <c r="I13" i="48"/>
  <c r="G13" i="48"/>
  <c r="E13" i="48"/>
  <c r="C13" i="48"/>
  <c r="J22" i="48" l="1"/>
  <c r="H24" i="48" s="1"/>
  <c r="N26" i="48"/>
  <c r="B39" i="48"/>
  <c r="F16" i="48"/>
  <c r="G20" i="48" s="1"/>
  <c r="F21" i="48" s="1"/>
  <c r="M24" i="48"/>
  <c r="R39" i="48"/>
  <c r="I16" i="48"/>
  <c r="I18" i="48" s="1"/>
  <c r="D23" i="48" s="1"/>
  <c r="J18" i="48"/>
  <c r="D24" i="48" s="1"/>
  <c r="M23" i="48"/>
  <c r="B41" i="48"/>
  <c r="B32" i="48"/>
  <c r="C16" i="48"/>
  <c r="E18" i="48"/>
  <c r="E17" i="48"/>
  <c r="C19" i="48" s="1"/>
  <c r="I22" i="48"/>
  <c r="H23" i="48" s="1"/>
  <c r="I21" i="48"/>
  <c r="G23" i="48" s="1"/>
  <c r="I17" i="48"/>
  <c r="C23" i="48" s="1"/>
  <c r="P26" i="48"/>
  <c r="G16" i="48"/>
  <c r="K16" i="48"/>
  <c r="J20" i="48"/>
  <c r="F24" i="48" s="1"/>
  <c r="P23" i="48"/>
  <c r="N24" i="48"/>
  <c r="M25" i="48"/>
  <c r="B34" i="48"/>
  <c r="B36" i="48"/>
  <c r="B38" i="48"/>
  <c r="B40" i="48"/>
  <c r="P25" i="48"/>
  <c r="J19" i="48"/>
  <c r="E24" i="48" s="1"/>
  <c r="P22" i="48"/>
  <c r="J23" i="48"/>
  <c r="I24" i="48" s="1"/>
  <c r="R37" i="48"/>
  <c r="R41" i="48"/>
  <c r="D16" i="48"/>
  <c r="D17" i="48" s="1"/>
  <c r="C18" i="48" s="1"/>
  <c r="H16" i="48"/>
  <c r="L16" i="48"/>
  <c r="F17" i="48"/>
  <c r="J17" i="48"/>
  <c r="C24" i="48" s="1"/>
  <c r="N25" i="48"/>
  <c r="D18" i="4"/>
  <c r="D19" i="4"/>
  <c r="D20" i="4"/>
  <c r="D21" i="4"/>
  <c r="F19" i="48" l="1"/>
  <c r="E20" i="48" s="1"/>
  <c r="I20" i="48"/>
  <c r="F23" i="48" s="1"/>
  <c r="G19" i="48"/>
  <c r="E21" i="48" s="1"/>
  <c r="I19" i="48"/>
  <c r="E23" i="48" s="1"/>
  <c r="C20" i="48"/>
  <c r="G17" i="48"/>
  <c r="C21" i="48" s="1"/>
  <c r="L23" i="48"/>
  <c r="I26" i="48" s="1"/>
  <c r="L19" i="48"/>
  <c r="E26" i="48" s="1"/>
  <c r="L25" i="48"/>
  <c r="K26" i="48" s="1"/>
  <c r="L21" i="48"/>
  <c r="G26" i="48" s="1"/>
  <c r="L17" i="48"/>
  <c r="C26" i="48" s="1"/>
  <c r="L24" i="48"/>
  <c r="J26" i="48" s="1"/>
  <c r="L20" i="48"/>
  <c r="F26" i="48" s="1"/>
  <c r="L22" i="48"/>
  <c r="H26" i="48" s="1"/>
  <c r="L18" i="48"/>
  <c r="D26" i="48" s="1"/>
  <c r="K24" i="48"/>
  <c r="J25" i="48" s="1"/>
  <c r="K20" i="48"/>
  <c r="F25" i="48" s="1"/>
  <c r="K18" i="48"/>
  <c r="D25" i="48" s="1"/>
  <c r="K23" i="48"/>
  <c r="I25" i="48" s="1"/>
  <c r="K19" i="48"/>
  <c r="E25" i="48" s="1"/>
  <c r="K22" i="48"/>
  <c r="H25" i="48" s="1"/>
  <c r="K21" i="48"/>
  <c r="G25" i="48" s="1"/>
  <c r="K17" i="48"/>
  <c r="C25" i="48" s="1"/>
  <c r="D19" i="48"/>
  <c r="F18" i="48"/>
  <c r="H19" i="48"/>
  <c r="E22" i="48" s="1"/>
  <c r="H21" i="48"/>
  <c r="G22" i="48" s="1"/>
  <c r="H17" i="48"/>
  <c r="C22" i="48" s="1"/>
  <c r="H20" i="48"/>
  <c r="F22" i="48" s="1"/>
  <c r="H18" i="48"/>
  <c r="D22" i="48" s="1"/>
  <c r="Q46" i="5"/>
  <c r="M19" i="48" l="1"/>
  <c r="D20" i="48"/>
  <c r="G18" i="48"/>
  <c r="D21" i="48" s="1"/>
  <c r="M21" i="48"/>
  <c r="M20" i="48"/>
  <c r="M17" i="48"/>
  <c r="D61" i="4"/>
  <c r="M18" i="48" l="1"/>
  <c r="N18" i="48" s="1"/>
  <c r="Q64" i="5"/>
  <c r="Q17" i="5"/>
  <c r="E71" i="5"/>
  <c r="E70" i="5"/>
  <c r="K71" i="5"/>
  <c r="K70" i="5"/>
  <c r="Q49" i="5"/>
  <c r="K55" i="5" s="1"/>
  <c r="Q48" i="5"/>
  <c r="E55" i="5"/>
  <c r="Q28" i="5"/>
  <c r="K30" i="5" s="1"/>
  <c r="Q18" i="5"/>
  <c r="K20" i="5" s="1"/>
  <c r="Q27" i="5"/>
  <c r="K26" i="5"/>
  <c r="N21" i="48" l="1"/>
  <c r="N17" i="48"/>
  <c r="N20" i="48"/>
  <c r="N19" i="48"/>
  <c r="B32" i="41"/>
  <c r="B30" i="41"/>
  <c r="B29" i="41"/>
  <c r="B26" i="41"/>
  <c r="B19" i="41"/>
  <c r="B18" i="41"/>
  <c r="B17" i="41"/>
  <c r="B16" i="41"/>
  <c r="B9" i="41"/>
  <c r="P20" i="48" l="1"/>
  <c r="R35" i="48" s="1"/>
  <c r="P17" i="48"/>
  <c r="R32" i="48" s="1"/>
  <c r="P18" i="48"/>
  <c r="R33" i="48" s="1"/>
  <c r="P19" i="48"/>
  <c r="R34" i="48" s="1"/>
  <c r="P21" i="48"/>
  <c r="R36" i="48" s="1"/>
  <c r="B33" i="41"/>
  <c r="B34" i="41"/>
  <c r="G26" i="41" s="1"/>
  <c r="B12" i="41"/>
  <c r="B20" i="41"/>
  <c r="B28" i="41"/>
  <c r="B14" i="41"/>
  <c r="B10" i="41"/>
  <c r="B11" i="41"/>
  <c r="D17" i="4" s="1"/>
  <c r="D16" i="4" s="1"/>
  <c r="E8" i="5" s="1"/>
  <c r="I126" i="41"/>
  <c r="I125" i="41"/>
  <c r="I124" i="41"/>
  <c r="I123" i="41"/>
  <c r="I122" i="41"/>
  <c r="I121" i="41"/>
  <c r="I120" i="41"/>
  <c r="I119" i="41"/>
  <c r="I118" i="41"/>
  <c r="I117" i="41"/>
  <c r="I116" i="41"/>
  <c r="I115" i="41"/>
  <c r="H115" i="41"/>
  <c r="G115" i="41"/>
  <c r="I114" i="41"/>
  <c r="E100" i="41"/>
  <c r="E101" i="41" s="1"/>
  <c r="E102" i="41" s="1"/>
  <c r="E103" i="41" s="1"/>
  <c r="E104" i="41" s="1"/>
  <c r="E105" i="41" s="1"/>
  <c r="E106" i="41" s="1"/>
  <c r="E107" i="41" s="1"/>
  <c r="G98" i="41" s="1"/>
  <c r="G99" i="41" s="1"/>
  <c r="G100" i="41" s="1"/>
  <c r="G101" i="41" s="1"/>
  <c r="G102" i="41" s="1"/>
  <c r="G103" i="41" s="1"/>
  <c r="G104" i="41" s="1"/>
  <c r="G105" i="41" s="1"/>
  <c r="G106" i="41" s="1"/>
  <c r="G107" i="41" s="1"/>
  <c r="J98" i="41" s="1"/>
  <c r="J99" i="41" s="1"/>
  <c r="J100" i="41" s="1"/>
  <c r="J101" i="41" s="1"/>
  <c r="J102" i="41" s="1"/>
  <c r="J103" i="41" s="1"/>
  <c r="J104" i="41" s="1"/>
  <c r="J105" i="41" s="1"/>
  <c r="J106" i="41" s="1"/>
  <c r="J107" i="41" s="1"/>
  <c r="L98" i="41" s="1"/>
  <c r="L99" i="41" s="1"/>
  <c r="L100" i="41" s="1"/>
  <c r="L101" i="41" s="1"/>
  <c r="L102" i="41" s="1"/>
  <c r="L103" i="41" s="1"/>
  <c r="L104" i="41" s="1"/>
  <c r="L105" i="41" s="1"/>
  <c r="L106" i="41" s="1"/>
  <c r="L107" i="41" s="1"/>
  <c r="E99" i="41"/>
  <c r="K98" i="41"/>
  <c r="K99" i="41" s="1"/>
  <c r="K100" i="41" s="1"/>
  <c r="K101" i="41" s="1"/>
  <c r="K102" i="41" s="1"/>
  <c r="K103" i="41" s="1"/>
  <c r="K104" i="41" s="1"/>
  <c r="K105" i="41" s="1"/>
  <c r="K106" i="41" s="1"/>
  <c r="K107" i="41" s="1"/>
  <c r="M98" i="41" s="1"/>
  <c r="M99" i="41" s="1"/>
  <c r="M100" i="41" s="1"/>
  <c r="M101" i="41" s="1"/>
  <c r="M102" i="41" s="1"/>
  <c r="M103" i="41" s="1"/>
  <c r="M104" i="41" s="1"/>
  <c r="M105" i="41" s="1"/>
  <c r="M106" i="41" s="1"/>
  <c r="M107" i="41" s="1"/>
  <c r="U90" i="41"/>
  <c r="T90" i="41"/>
  <c r="AH89" i="41"/>
  <c r="AG89" i="41"/>
  <c r="U89" i="41"/>
  <c r="T89" i="41"/>
  <c r="AH88" i="41"/>
  <c r="AG88" i="41"/>
  <c r="U88" i="41"/>
  <c r="T88" i="41"/>
  <c r="AH87" i="41"/>
  <c r="AR87" i="41" s="1"/>
  <c r="AG87" i="41"/>
  <c r="AR88" i="41" s="1"/>
  <c r="W87" i="41"/>
  <c r="U87" i="41"/>
  <c r="AE87" i="41" s="1"/>
  <c r="T87" i="41"/>
  <c r="K80" i="41"/>
  <c r="H80" i="41"/>
  <c r="K79" i="41"/>
  <c r="H79" i="41"/>
  <c r="AH74" i="41"/>
  <c r="AG74" i="41"/>
  <c r="U74" i="41"/>
  <c r="T74" i="41"/>
  <c r="AH73" i="41"/>
  <c r="AG73" i="41"/>
  <c r="U73" i="41"/>
  <c r="T73" i="41"/>
  <c r="AH72" i="41"/>
  <c r="AG72" i="41"/>
  <c r="U72" i="41"/>
  <c r="T72" i="41"/>
  <c r="AJ71" i="41"/>
  <c r="AH71" i="41"/>
  <c r="AR71" i="41" s="1"/>
  <c r="AG71" i="41"/>
  <c r="W71" i="41"/>
  <c r="U71" i="41"/>
  <c r="T71" i="41"/>
  <c r="Y73" i="41" s="1"/>
  <c r="AH69" i="41"/>
  <c r="AG69" i="41"/>
  <c r="U69" i="41"/>
  <c r="T69" i="41"/>
  <c r="AH68" i="41"/>
  <c r="AG68" i="41"/>
  <c r="U68" i="41"/>
  <c r="T68" i="41"/>
  <c r="AH67" i="41"/>
  <c r="AG67" i="41"/>
  <c r="U67" i="41"/>
  <c r="T67" i="41"/>
  <c r="AJ66" i="41"/>
  <c r="AH66" i="41"/>
  <c r="AR66" i="41" s="1"/>
  <c r="AG66" i="41"/>
  <c r="AJ68" i="41" s="1"/>
  <c r="AK67" i="41" s="1"/>
  <c r="AL66" i="41" s="1"/>
  <c r="W66" i="41"/>
  <c r="U66" i="41"/>
  <c r="T66" i="41"/>
  <c r="M59" i="41"/>
  <c r="L59" i="41"/>
  <c r="T58" i="41"/>
  <c r="M58" i="41"/>
  <c r="L58" i="41"/>
  <c r="T57" i="41"/>
  <c r="M57" i="41"/>
  <c r="L57" i="41"/>
  <c r="T56" i="41"/>
  <c r="M56" i="41"/>
  <c r="L56" i="41"/>
  <c r="T55" i="41"/>
  <c r="M55" i="41"/>
  <c r="L55" i="41"/>
  <c r="T54" i="41"/>
  <c r="T53" i="41"/>
  <c r="T52" i="41"/>
  <c r="T51" i="41"/>
  <c r="AF50" i="41"/>
  <c r="T49" i="41" s="1"/>
  <c r="T50" i="41"/>
  <c r="S49" i="41"/>
  <c r="V55" i="41" s="1"/>
  <c r="T48" i="41"/>
  <c r="T47" i="41"/>
  <c r="B39" i="41"/>
  <c r="T33" i="41"/>
  <c r="S33" i="41"/>
  <c r="R30" i="41"/>
  <c r="I26" i="41"/>
  <c r="K25" i="41" a="1"/>
  <c r="L25" i="41" s="1"/>
  <c r="B25" i="41"/>
  <c r="K24" i="41" a="1"/>
  <c r="L24" i="41" s="1"/>
  <c r="K23" i="41" a="1"/>
  <c r="K23" i="41" s="1"/>
  <c r="H23" i="41"/>
  <c r="L22" i="41"/>
  <c r="K22" i="41" a="1"/>
  <c r="K22" i="41" s="1"/>
  <c r="G22" i="41"/>
  <c r="L21" i="41"/>
  <c r="K21" i="41"/>
  <c r="K21" i="41" a="1"/>
  <c r="I21" i="41"/>
  <c r="H21" i="41"/>
  <c r="G21" i="41"/>
  <c r="K20" i="41" a="1"/>
  <c r="L20" i="41" s="1"/>
  <c r="I20" i="41"/>
  <c r="H20" i="41"/>
  <c r="K19" i="41" a="1"/>
  <c r="L19" i="41" s="1"/>
  <c r="I19" i="41"/>
  <c r="H19" i="41"/>
  <c r="K18" i="41" a="1"/>
  <c r="L18" i="41" s="1"/>
  <c r="B27" i="41"/>
  <c r="K17" i="41" a="1"/>
  <c r="K17" i="41" s="1"/>
  <c r="G17" i="41"/>
  <c r="K16" i="41" a="1"/>
  <c r="L16" i="41" s="1"/>
  <c r="H16" i="41"/>
  <c r="K15" i="41" a="1"/>
  <c r="L15" i="41" s="1"/>
  <c r="H15" i="41"/>
  <c r="K14" i="41" a="1"/>
  <c r="L14" i="41" s="1"/>
  <c r="K13" i="41" a="1"/>
  <c r="L13" i="41" s="1"/>
  <c r="I13" i="41"/>
  <c r="H13" i="41"/>
  <c r="B13" i="41"/>
  <c r="K12" i="41" a="1"/>
  <c r="L12" i="41" s="1"/>
  <c r="I12" i="41"/>
  <c r="Q12" i="41" s="1" a="1"/>
  <c r="H12" i="41"/>
  <c r="K11" i="41" a="1"/>
  <c r="L11" i="41" s="1"/>
  <c r="I11" i="41"/>
  <c r="H11" i="41"/>
  <c r="K10" i="41" a="1"/>
  <c r="L10" i="41" s="1"/>
  <c r="H10" i="41"/>
  <c r="G10" i="41"/>
  <c r="K9" i="41" a="1"/>
  <c r="L9" i="41" s="1"/>
  <c r="H9" i="41"/>
  <c r="G9" i="41"/>
  <c r="M9" i="41" s="1" a="1"/>
  <c r="N9" i="41" s="1"/>
  <c r="K8" i="41" a="1"/>
  <c r="L8" i="41" s="1"/>
  <c r="H8" i="41"/>
  <c r="G8" i="41"/>
  <c r="M8" i="41" s="1" a="1"/>
  <c r="M8" i="41" s="1"/>
  <c r="L7" i="41"/>
  <c r="K7" i="41" a="1"/>
  <c r="K7" i="41" s="1"/>
  <c r="I7" i="41"/>
  <c r="H7" i="41"/>
  <c r="G7" i="41"/>
  <c r="K6" i="41" a="1"/>
  <c r="L6" i="41" s="1"/>
  <c r="I6" i="41"/>
  <c r="G6" i="41"/>
  <c r="K5" i="41" a="1"/>
  <c r="L5" i="41" s="1"/>
  <c r="I5" i="41"/>
  <c r="Q5" i="41" s="1" a="1"/>
  <c r="R5" i="41" s="1"/>
  <c r="G5" i="41"/>
  <c r="B4" i="41"/>
  <c r="B3" i="41"/>
  <c r="B2" i="41"/>
  <c r="B1" i="41"/>
  <c r="U56" i="41" l="1"/>
  <c r="U50" i="41"/>
  <c r="U51" i="41"/>
  <c r="U48" i="41"/>
  <c r="U47" i="41"/>
  <c r="U52" i="41"/>
  <c r="L17" i="41"/>
  <c r="Y47" i="41"/>
  <c r="AE73" i="41"/>
  <c r="V56" i="41"/>
  <c r="Z56" i="41" s="1"/>
  <c r="V52" i="41"/>
  <c r="Z52" i="41" s="1"/>
  <c r="Y68" i="41"/>
  <c r="K6" i="41"/>
  <c r="AE68" i="41"/>
  <c r="H5" i="41"/>
  <c r="H6" i="41"/>
  <c r="I8" i="41"/>
  <c r="I9" i="41"/>
  <c r="I10" i="41"/>
  <c r="I14" i="41"/>
  <c r="G16" i="41"/>
  <c r="H17" i="41"/>
  <c r="H18" i="41"/>
  <c r="K20" i="41"/>
  <c r="G24" i="41"/>
  <c r="H26" i="41"/>
  <c r="V47" i="41"/>
  <c r="V48" i="41"/>
  <c r="Z48" i="41" s="1"/>
  <c r="V53" i="41"/>
  <c r="AJ73" i="41"/>
  <c r="AK72" i="41" s="1"/>
  <c r="AL71" i="41" s="1"/>
  <c r="W89" i="41"/>
  <c r="X88" i="41" s="1"/>
  <c r="Y87" i="41" s="1"/>
  <c r="P42" i="48"/>
  <c r="L42" i="48"/>
  <c r="H42" i="48"/>
  <c r="D42" i="48"/>
  <c r="J42" i="48"/>
  <c r="M42" i="48"/>
  <c r="E42" i="48"/>
  <c r="O42" i="48"/>
  <c r="K42" i="48"/>
  <c r="G42" i="48"/>
  <c r="C42" i="48"/>
  <c r="N42" i="48"/>
  <c r="F42" i="48"/>
  <c r="Q42" i="48"/>
  <c r="I42" i="48"/>
  <c r="D22" i="4"/>
  <c r="Q19" i="41" a="1"/>
  <c r="Q19" i="41" s="1"/>
  <c r="O18" i="41" a="1"/>
  <c r="O18" i="41" s="1"/>
  <c r="O10" i="41" a="1"/>
  <c r="P10" i="41" s="1"/>
  <c r="G11" i="41"/>
  <c r="M10" i="41" s="1" a="1"/>
  <c r="N10" i="41" s="1"/>
  <c r="G12" i="41"/>
  <c r="H14" i="41"/>
  <c r="O14" i="41" s="1" a="1"/>
  <c r="P14" i="41" s="1"/>
  <c r="I15" i="41"/>
  <c r="I16" i="41"/>
  <c r="Q15" i="41" s="1" a="1"/>
  <c r="R15" i="41" s="1"/>
  <c r="I18" i="41"/>
  <c r="Q18" i="41" s="1" a="1"/>
  <c r="I22" i="41"/>
  <c r="Q21" i="41" s="1" a="1"/>
  <c r="R21" i="41" s="1"/>
  <c r="I25" i="41"/>
  <c r="Q25" i="41" s="1" a="1"/>
  <c r="R25" i="41" s="1"/>
  <c r="M6" i="41" a="1"/>
  <c r="N6" i="41" s="1"/>
  <c r="G13" i="41"/>
  <c r="G14" i="41"/>
  <c r="G15" i="41"/>
  <c r="M15" i="41" s="1" a="1"/>
  <c r="N15" i="41" s="1"/>
  <c r="I17" i="41"/>
  <c r="G18" i="41"/>
  <c r="M17" i="41" s="1" a="1"/>
  <c r="G19" i="41"/>
  <c r="G20" i="41"/>
  <c r="M20" i="41" s="1" a="1"/>
  <c r="H22" i="41"/>
  <c r="O22" i="41" s="1" a="1"/>
  <c r="P22" i="41" s="1"/>
  <c r="G23" i="41"/>
  <c r="M22" i="41" s="1" a="1"/>
  <c r="M22" i="41" s="1"/>
  <c r="O20" i="41" a="1"/>
  <c r="O20" i="41" s="1"/>
  <c r="M21" i="41" a="1"/>
  <c r="M21" i="41" s="1"/>
  <c r="M7" i="41" a="1"/>
  <c r="N7" i="41" s="1"/>
  <c r="O17" i="41" a="1"/>
  <c r="P17" i="41" s="1"/>
  <c r="Q20" i="41" a="1"/>
  <c r="Q20" i="41" s="1"/>
  <c r="Q6" i="41" a="1"/>
  <c r="R6" i="41" s="1"/>
  <c r="M16" i="41" a="1"/>
  <c r="N16" i="41" s="1"/>
  <c r="O21" i="41" a="1"/>
  <c r="O21" i="41" s="1"/>
  <c r="O7" i="41" a="1"/>
  <c r="O7" i="41" s="1"/>
  <c r="O16" i="41" a="1"/>
  <c r="O16" i="41" s="1"/>
  <c r="O6" i="41" a="1"/>
  <c r="P6" i="41" s="1"/>
  <c r="Q7" i="41" a="1"/>
  <c r="R7" i="41" s="1"/>
  <c r="Q10" i="41" a="1"/>
  <c r="Q10" i="41" s="1"/>
  <c r="O11" i="41" a="1"/>
  <c r="P11" i="41" s="1"/>
  <c r="Q13" i="41" a="1"/>
  <c r="R13" i="41" s="1"/>
  <c r="O19" i="41" a="1"/>
  <c r="I23" i="41"/>
  <c r="H24" i="41"/>
  <c r="O23" i="41" s="1" a="1"/>
  <c r="P23" i="41" s="1"/>
  <c r="G25" i="41"/>
  <c r="M25" i="41" s="1" a="1"/>
  <c r="N25" i="41" s="1"/>
  <c r="O8" i="41" a="1"/>
  <c r="P8" i="41" s="1"/>
  <c r="Q11" i="41" a="1"/>
  <c r="R11" i="41" s="1"/>
  <c r="O12" i="41" a="1"/>
  <c r="P12" i="41" s="1"/>
  <c r="O15" i="41" a="1"/>
  <c r="O15" i="41" s="1"/>
  <c r="I24" i="41"/>
  <c r="H25" i="41"/>
  <c r="O25" i="41" s="1" a="1"/>
  <c r="O25" i="41" s="1"/>
  <c r="M5" i="41" a="1"/>
  <c r="M5" i="41" s="1"/>
  <c r="Q8" i="41" a="1"/>
  <c r="Q8" i="41" s="1"/>
  <c r="O9" i="41" a="1"/>
  <c r="P9" i="41" s="1"/>
  <c r="M6" i="41"/>
  <c r="Q12" i="41"/>
  <c r="R12" i="41"/>
  <c r="AA55" i="41"/>
  <c r="Z55" i="41"/>
  <c r="Y55" i="41"/>
  <c r="X55" i="41"/>
  <c r="K15" i="41"/>
  <c r="K16" i="41"/>
  <c r="K18" i="41"/>
  <c r="M9" i="41"/>
  <c r="K8" i="41"/>
  <c r="N8" i="41"/>
  <c r="K9" i="41"/>
  <c r="K12" i="41"/>
  <c r="K13" i="41"/>
  <c r="K14" i="41"/>
  <c r="K5" i="41"/>
  <c r="Q5" i="41"/>
  <c r="K10" i="41"/>
  <c r="K11" i="41"/>
  <c r="K19" i="41"/>
  <c r="L23" i="41"/>
  <c r="AA52" i="41"/>
  <c r="AA56" i="41"/>
  <c r="U57" i="41"/>
  <c r="AL67" i="41"/>
  <c r="AK68" i="41" s="1"/>
  <c r="AR67" i="41"/>
  <c r="AL68" i="41"/>
  <c r="AO67" i="41" s="1"/>
  <c r="AR68" i="41"/>
  <c r="AL72" i="41"/>
  <c r="AK73" i="41" s="1"/>
  <c r="AR72" i="41"/>
  <c r="AL73" i="41"/>
  <c r="AR73" i="41"/>
  <c r="Y88" i="41"/>
  <c r="X89" i="41" s="1"/>
  <c r="AE88" i="41"/>
  <c r="AK88" i="41"/>
  <c r="V50" i="41"/>
  <c r="V51" i="41"/>
  <c r="X52" i="41"/>
  <c r="Y53" i="41"/>
  <c r="U54" i="41"/>
  <c r="X56" i="41"/>
  <c r="V57" i="41"/>
  <c r="U58" i="41"/>
  <c r="W67" i="41"/>
  <c r="X66" i="41" s="1"/>
  <c r="AB68" i="41" s="1"/>
  <c r="W68" i="41"/>
  <c r="X67" i="41" s="1"/>
  <c r="Y66" i="41" s="1"/>
  <c r="AB67" i="41" s="1"/>
  <c r="W72" i="41"/>
  <c r="X71" i="41" s="1"/>
  <c r="AB73" i="41" s="1"/>
  <c r="AB72" i="41"/>
  <c r="W73" i="41"/>
  <c r="X72" i="41" s="1"/>
  <c r="Y71" i="41" s="1"/>
  <c r="Y89" i="41"/>
  <c r="AB88" i="41" s="1"/>
  <c r="AE89" i="41"/>
  <c r="K24" i="41"/>
  <c r="K25" i="41"/>
  <c r="X47" i="41"/>
  <c r="Y48" i="41"/>
  <c r="Y52" i="41"/>
  <c r="U53" i="41"/>
  <c r="Z53" i="41"/>
  <c r="V54" i="41"/>
  <c r="U55" i="41"/>
  <c r="Y56" i="41"/>
  <c r="V58" i="41"/>
  <c r="AJ67" i="41"/>
  <c r="AK66" i="41" s="1"/>
  <c r="AN68" i="41" s="1"/>
  <c r="AJ72" i="41"/>
  <c r="AK71" i="41" s="1"/>
  <c r="AO73" i="41" s="1"/>
  <c r="W88" i="41"/>
  <c r="X87" i="41" s="1"/>
  <c r="AE66" i="41"/>
  <c r="Y67" i="41"/>
  <c r="X68" i="41" s="1"/>
  <c r="AE67" i="41"/>
  <c r="AE71" i="41"/>
  <c r="Y72" i="41"/>
  <c r="X73" i="41" s="1"/>
  <c r="AE72" i="41"/>
  <c r="AJ88" i="41"/>
  <c r="AK87" i="41" s="1"/>
  <c r="AC66" i="41" l="1"/>
  <c r="O43" i="48"/>
  <c r="AA47" i="41"/>
  <c r="Z47" i="41"/>
  <c r="O5" i="41" a="1"/>
  <c r="AC72" i="41"/>
  <c r="AA48" i="41"/>
  <c r="Q14" i="41" a="1"/>
  <c r="R14" i="41" s="1"/>
  <c r="Q9" i="41" a="1"/>
  <c r="N43" i="48"/>
  <c r="AA88" i="41"/>
  <c r="AO68" i="41"/>
  <c r="X48" i="41"/>
  <c r="AA53" i="41"/>
  <c r="X53" i="41"/>
  <c r="D43" i="48"/>
  <c r="I43" i="48"/>
  <c r="C43" i="48"/>
  <c r="E43" i="48"/>
  <c r="H43" i="48"/>
  <c r="Q43" i="48"/>
  <c r="G43" i="48"/>
  <c r="M43" i="48"/>
  <c r="L43" i="48"/>
  <c r="F43" i="48"/>
  <c r="K43" i="48"/>
  <c r="J43" i="48"/>
  <c r="P43" i="48"/>
  <c r="P18" i="41"/>
  <c r="R19" i="41"/>
  <c r="O10" i="41"/>
  <c r="Q24" i="41" a="1"/>
  <c r="R24" i="41" s="1"/>
  <c r="M10" i="41"/>
  <c r="N21" i="41"/>
  <c r="M13" i="41" a="1"/>
  <c r="N13" i="41" s="1"/>
  <c r="P20" i="41"/>
  <c r="O17" i="41"/>
  <c r="Q17" i="41" a="1"/>
  <c r="R17" i="41" s="1"/>
  <c r="R8" i="41"/>
  <c r="M19" i="41" a="1"/>
  <c r="N19" i="41" s="1"/>
  <c r="R18" i="41"/>
  <c r="Q18" i="41"/>
  <c r="M7" i="41"/>
  <c r="O11" i="41"/>
  <c r="Q16" i="41" a="1"/>
  <c r="R16" i="41" s="1"/>
  <c r="O13" i="41" a="1"/>
  <c r="P21" i="41"/>
  <c r="M11" i="41" a="1"/>
  <c r="M18" i="41" a="1"/>
  <c r="M18" i="41" s="1"/>
  <c r="P7" i="41"/>
  <c r="M17" i="41"/>
  <c r="N17" i="41"/>
  <c r="Q11" i="41"/>
  <c r="M16" i="41"/>
  <c r="M12" i="41" a="1"/>
  <c r="M12" i="41" s="1"/>
  <c r="M23" i="41" a="1"/>
  <c r="P16" i="41"/>
  <c r="Q13" i="41"/>
  <c r="M14" i="41" a="1"/>
  <c r="O8" i="41"/>
  <c r="R20" i="41"/>
  <c r="N22" i="41"/>
  <c r="O22" i="41"/>
  <c r="Q21" i="41"/>
  <c r="Q6" i="41"/>
  <c r="Q7" i="41"/>
  <c r="O23" i="41"/>
  <c r="P15" i="41"/>
  <c r="O9" i="41"/>
  <c r="M25" i="41"/>
  <c r="O6" i="41"/>
  <c r="O12" i="41"/>
  <c r="O14" i="41"/>
  <c r="N5" i="41"/>
  <c r="Q15" i="41"/>
  <c r="P25" i="41"/>
  <c r="Q23" i="41" a="1"/>
  <c r="Q23" i="41" s="1"/>
  <c r="O19" i="41"/>
  <c r="P19" i="41"/>
  <c r="Q25" i="41"/>
  <c r="R10" i="41"/>
  <c r="D23" i="4" s="1"/>
  <c r="M15" i="41"/>
  <c r="Q22" i="41" a="1"/>
  <c r="O24" i="41" a="1"/>
  <c r="M24" i="41" a="1"/>
  <c r="AN87" i="41"/>
  <c r="AO88" i="41"/>
  <c r="AN88" i="41"/>
  <c r="AO87" i="41"/>
  <c r="X58" i="41"/>
  <c r="AA58" i="41"/>
  <c r="Z58" i="41"/>
  <c r="Y58" i="41"/>
  <c r="AA68" i="41"/>
  <c r="AA67" i="41"/>
  <c r="AA66" i="41"/>
  <c r="AC87" i="41"/>
  <c r="AO71" i="41"/>
  <c r="AC67" i="41"/>
  <c r="AN71" i="41"/>
  <c r="AN66" i="41"/>
  <c r="Y51" i="41"/>
  <c r="X51" i="41"/>
  <c r="AA51" i="41"/>
  <c r="Z51" i="41"/>
  <c r="AC68" i="41"/>
  <c r="N20" i="41"/>
  <c r="M20" i="41"/>
  <c r="AB89" i="41"/>
  <c r="AC88" i="41"/>
  <c r="AC89" i="41"/>
  <c r="AA87" i="41"/>
  <c r="AP68" i="41"/>
  <c r="AP67" i="41"/>
  <c r="AP66" i="41"/>
  <c r="AA73" i="41"/>
  <c r="AA72" i="41"/>
  <c r="AA71" i="41"/>
  <c r="Y57" i="41"/>
  <c r="X57" i="41"/>
  <c r="AA57" i="41"/>
  <c r="Z57" i="41"/>
  <c r="AC73" i="41"/>
  <c r="AO72" i="41"/>
  <c r="AC71" i="41"/>
  <c r="AO66" i="41"/>
  <c r="AB87" i="41"/>
  <c r="AN72" i="41"/>
  <c r="AB71" i="41"/>
  <c r="AN67" i="41"/>
  <c r="AB66" i="41"/>
  <c r="Y50" i="41"/>
  <c r="X50" i="41"/>
  <c r="AA50" i="41"/>
  <c r="Z50" i="41"/>
  <c r="AA89" i="41"/>
  <c r="X54" i="41"/>
  <c r="AA54" i="41"/>
  <c r="Z54" i="41"/>
  <c r="Y54" i="41"/>
  <c r="AP73" i="41"/>
  <c r="AP72" i="41"/>
  <c r="AP71" i="41"/>
  <c r="AN73" i="41"/>
  <c r="Q14" i="41" l="1"/>
  <c r="R9" i="41"/>
  <c r="Q9" i="41"/>
  <c r="O5" i="41"/>
  <c r="P5" i="41"/>
  <c r="M19" i="41"/>
  <c r="Q24" i="41"/>
  <c r="N18" i="41"/>
  <c r="Q17" i="41"/>
  <c r="M13" i="41"/>
  <c r="N11" i="41"/>
  <c r="M11" i="41"/>
  <c r="Q16" i="41"/>
  <c r="O13" i="41"/>
  <c r="P13" i="41"/>
  <c r="N12" i="41"/>
  <c r="N23" i="41"/>
  <c r="M23" i="41"/>
  <c r="N14" i="41"/>
  <c r="M14" i="41"/>
  <c r="R23" i="41"/>
  <c r="R22" i="41"/>
  <c r="Q22" i="41"/>
  <c r="P24" i="41"/>
  <c r="O24" i="41"/>
  <c r="N24" i="41"/>
  <c r="M24" i="41"/>
  <c r="M68" i="41"/>
  <c r="M67" i="41"/>
  <c r="M66" i="41"/>
  <c r="G88" i="41"/>
  <c r="G87" i="41"/>
  <c r="G89" i="41"/>
  <c r="H73" i="41"/>
  <c r="H72" i="41"/>
  <c r="H71" i="41"/>
  <c r="M73" i="41"/>
  <c r="M72" i="41"/>
  <c r="M71" i="41"/>
  <c r="H68" i="41"/>
  <c r="H67" i="41"/>
  <c r="H66" i="41"/>
  <c r="L88" i="41"/>
  <c r="L87" i="41"/>
  <c r="D24" i="4" l="1"/>
  <c r="D45" i="4" l="1"/>
  <c r="Q52" i="5" l="1"/>
  <c r="D48" i="4"/>
  <c r="D49" i="4" s="1"/>
  <c r="D50" i="4" s="1"/>
  <c r="D44" i="4"/>
  <c r="D54" i="4" s="1"/>
  <c r="D42" i="4"/>
  <c r="D41" i="4"/>
  <c r="D40" i="4"/>
  <c r="I11" i="4" s="1"/>
  <c r="D51" i="4" l="1"/>
  <c r="D38" i="4" s="1"/>
  <c r="Q61" i="5"/>
  <c r="Q63" i="5"/>
  <c r="Q66" i="5" s="1"/>
  <c r="Q73" i="5" s="1"/>
  <c r="D46" i="4"/>
  <c r="I12" i="4" s="1"/>
  <c r="Q8" i="5"/>
  <c r="Q9" i="5"/>
  <c r="K16" i="5"/>
  <c r="E17" i="5"/>
  <c r="K17" i="5"/>
  <c r="K27" i="5"/>
  <c r="Q51" i="5"/>
  <c r="Q41" i="5"/>
  <c r="E42" i="5"/>
  <c r="Q44" i="5"/>
  <c r="K43" i="5"/>
  <c r="E49" i="5"/>
  <c r="E48" i="5"/>
  <c r="K62" i="5"/>
  <c r="E78" i="5"/>
  <c r="E79" i="5"/>
  <c r="E80" i="5"/>
  <c r="K80" i="5" s="1"/>
  <c r="E81" i="5"/>
  <c r="E82" i="5"/>
  <c r="K44" i="5" l="1"/>
  <c r="Q45" i="5"/>
  <c r="K66" i="5"/>
  <c r="E66" i="5"/>
  <c r="I13" i="4"/>
  <c r="K81" i="5"/>
  <c r="K79" i="5"/>
  <c r="K82" i="5"/>
  <c r="K78" i="5"/>
  <c r="Q82" i="5"/>
  <c r="Q42" i="5"/>
  <c r="Q78" i="5"/>
  <c r="Q81" i="5"/>
  <c r="Q80" i="5"/>
  <c r="Q79" i="5"/>
  <c r="E50" i="5"/>
  <c r="Q62" i="5"/>
  <c r="E41" i="5"/>
  <c r="Q47" i="5" l="1"/>
  <c r="K83" i="5"/>
  <c r="Q83" i="5"/>
  <c r="K42" i="5"/>
  <c r="E43" i="5"/>
  <c r="Q86" i="5" l="1"/>
  <c r="K86" i="5"/>
  <c r="E9" i="5" l="1"/>
  <c r="D39" i="4"/>
  <c r="I10" i="4" l="1"/>
  <c r="I15" i="4" s="1"/>
  <c r="K8" i="5" s="1"/>
  <c r="E26" i="5" s="1"/>
  <c r="Q26" i="5" s="1"/>
  <c r="I17" i="4"/>
  <c r="K9" i="5" s="1"/>
  <c r="E10" i="5"/>
  <c r="E44" i="5" s="1"/>
  <c r="I27" i="4" l="1"/>
  <c r="I28" i="4" s="1"/>
  <c r="E16" i="5"/>
  <c r="Q16" i="5" s="1"/>
  <c r="Q30" i="5" l="1"/>
  <c r="E61" i="5"/>
  <c r="K61" i="5" s="1"/>
  <c r="K41" i="5"/>
  <c r="K45" i="5" s="1"/>
  <c r="Q50" i="5" s="1"/>
  <c r="Q53" i="5" s="1"/>
  <c r="Q55" i="5" s="1"/>
  <c r="Q20" i="5"/>
  <c r="K73" i="5" l="1"/>
</calcChain>
</file>

<file path=xl/comments1.xml><?xml version="1.0" encoding="utf-8"?>
<comments xmlns="http://schemas.openxmlformats.org/spreadsheetml/2006/main">
  <authors>
    <author>Loris Franchi</author>
    <author>David J. Cloud</author>
  </authors>
  <commentList>
    <comment ref="I6" authorId="0" shapeId="0">
      <text>
        <r>
          <rPr>
            <b/>
            <sz val="9"/>
            <color indexed="81"/>
            <rFont val="Tahoma"/>
            <family val="2"/>
          </rPr>
          <t>Loris Franchi:</t>
        </r>
        <r>
          <rPr>
            <sz val="9"/>
            <color indexed="81"/>
            <rFont val="Tahoma"/>
            <family val="2"/>
          </rPr>
          <t xml:space="preserve">
The seclection of the  central body will modify the constants relative to the planet itself</t>
        </r>
      </text>
    </comment>
    <comment ref="I10" authorId="1" shapeId="0">
      <text>
        <r>
          <rPr>
            <sz val="8"/>
            <color indexed="81"/>
            <rFont val="Times New Roman"/>
            <family val="1"/>
          </rPr>
          <t>Table 11-9a, p 366</t>
        </r>
      </text>
    </comment>
    <comment ref="I11" authorId="1" shapeId="0">
      <text>
        <r>
          <rPr>
            <sz val="8"/>
            <color indexed="81"/>
            <rFont val="Times New Roman"/>
            <family val="1"/>
          </rPr>
          <t>Table 11-9a, p 366</t>
        </r>
      </text>
    </comment>
    <comment ref="I12" authorId="1" shapeId="0">
      <text>
        <r>
          <rPr>
            <sz val="8"/>
            <color indexed="81"/>
            <rFont val="Times New Roman"/>
            <family val="1"/>
          </rPr>
          <t>Table 11-9a, p 366</t>
        </r>
      </text>
    </comment>
    <comment ref="I13" authorId="1" shapeId="0">
      <text>
        <r>
          <rPr>
            <sz val="8"/>
            <color indexed="81"/>
            <rFont val="Times New Roman"/>
            <family val="1"/>
          </rPr>
          <t>Table 11-9a, p 366</t>
        </r>
      </text>
    </comment>
    <comment ref="I15" authorId="1" shapeId="0">
      <text>
        <r>
          <rPr>
            <sz val="8"/>
            <color indexed="81"/>
            <rFont val="Times New Roman"/>
            <family val="1"/>
          </rPr>
          <t>Root sum square of individual torque values in Cells I10 - I13</t>
        </r>
      </text>
    </comment>
    <comment ref="D16" authorId="1" shapeId="0">
      <text>
        <r>
          <rPr>
            <sz val="8"/>
            <color indexed="81"/>
            <rFont val="Times New Roman"/>
            <family val="1"/>
          </rPr>
          <t>1.  Uses circular orbit altitude from
     "Workbook Inputs" worksheet if available
2.  Uses perigee altitude from "Workbook
     Inputs" worksheet if available</t>
        </r>
      </text>
    </comment>
    <comment ref="I17" authorId="1" shapeId="0">
      <text>
        <r>
          <rPr>
            <sz val="8"/>
            <color indexed="81"/>
            <rFont val="Times New Roman"/>
            <family val="1"/>
          </rPr>
          <t>Table 11-12, p 370</t>
        </r>
      </text>
    </comment>
    <comment ref="I21" authorId="0" shapeId="0">
      <text>
        <r>
          <rPr>
            <b/>
            <sz val="9"/>
            <color indexed="81"/>
            <rFont val="Tahoma"/>
            <family val="2"/>
          </rPr>
          <t>Loris Franchi:</t>
        </r>
        <r>
          <rPr>
            <sz val="9"/>
            <color indexed="81"/>
            <rFont val="Tahoma"/>
            <family val="2"/>
          </rPr>
          <t xml:space="preserve">
This data will we evaluate and written on the cells by the Marco "Evaluate Torque in a orbit" with an numerical integration</t>
        </r>
      </text>
    </comment>
    <comment ref="D22" authorId="1" shapeId="0">
      <text>
        <r>
          <rPr>
            <sz val="8"/>
            <color indexed="81"/>
            <rFont val="Times New Roman"/>
            <family val="1"/>
          </rPr>
          <t>1.  Calculated using Eqn 6-5, p 135 if 
      altitude is input directly
2.  Retrieved from "Orbits - Dynamics" 
      worksheet if altitude was retrieved 
      from "Orbits - Dynamics" worksheet
3.  Left blank</t>
        </r>
      </text>
    </comment>
    <comment ref="D23" authorId="1" shapeId="0">
      <text>
        <r>
          <rPr>
            <sz val="8"/>
            <color indexed="81"/>
            <rFont val="Times New Roman"/>
            <family val="1"/>
          </rPr>
          <t>Calculated from orbit altitude using a curve fit on information from the tables in the back of SMAD and stored in the "Constants" sheet.
Set to zero if altitude is above 1500 km.</t>
        </r>
      </text>
    </comment>
    <comment ref="D24" authorId="1" shapeId="0">
      <text>
        <r>
          <rPr>
            <sz val="8"/>
            <color indexed="81"/>
            <rFont val="Times New Roman"/>
            <family val="1"/>
          </rPr>
          <t>1.  Direct input from Cell C18
2.  Set to zero</t>
        </r>
      </text>
    </comment>
    <comment ref="D25" authorId="1" shapeId="0">
      <text>
        <r>
          <rPr>
            <sz val="8"/>
            <color indexed="81"/>
            <rFont val="Times New Roman"/>
            <family val="1"/>
          </rPr>
          <t>1.  Direct input from Cell C19
2.  Set to 10</t>
        </r>
      </text>
    </comment>
    <comment ref="D38" authorId="1" shapeId="0">
      <text>
        <r>
          <rPr>
            <sz val="8"/>
            <color indexed="81"/>
            <rFont val="Times New Roman"/>
            <family val="1"/>
          </rPr>
          <t>1.  Direct input from Cell C33
2.  Largest of lateral MOI (Cell D45), 
      longitudinal MOI (Cell D46), or MOI 
      identified in "SC Bus - Preliminary Sizing"
3.  Left blank</t>
        </r>
      </text>
    </comment>
    <comment ref="D39" authorId="1" shapeId="0">
      <text>
        <r>
          <rPr>
            <sz val="8"/>
            <color indexed="81"/>
            <rFont val="Times New Roman"/>
            <family val="1"/>
          </rPr>
          <t>1.  Direct input from Cell C15
2.  Smallest of lateral MOI (Cell D45), 
      longitudinal MOI (Cell D46), or MOI 
      identified in "SC Bus - Preliminary Sizing"
3.  Left blank</t>
        </r>
      </text>
    </comment>
    <comment ref="D40" authorId="1" shapeId="0">
      <text>
        <r>
          <rPr>
            <sz val="8"/>
            <color indexed="81"/>
            <rFont val="Times New Roman"/>
            <family val="1"/>
          </rPr>
          <t>1.  Direct input from Cell C35
2.  Retrieved from "SC Bus - Preliminary Sizing"
3.  Left blank</t>
        </r>
      </text>
    </comment>
    <comment ref="B41" authorId="1" shapeId="0">
      <text>
        <r>
          <rPr>
            <sz val="8"/>
            <color indexed="81"/>
            <rFont val="Times New Roman"/>
            <family val="1"/>
          </rPr>
          <t>Difference between center of solar pressure and center of gravity</t>
        </r>
      </text>
    </comment>
    <comment ref="D41" authorId="1" shapeId="0">
      <text>
        <r>
          <rPr>
            <sz val="8"/>
            <color indexed="81"/>
            <rFont val="Times New Roman"/>
            <family val="1"/>
          </rPr>
          <t>1.  Direct input from Cell C36
2.  Set to 0.25</t>
        </r>
      </text>
    </comment>
    <comment ref="B42" authorId="1" shapeId="0">
      <text>
        <r>
          <rPr>
            <sz val="8"/>
            <color indexed="81"/>
            <rFont val="Times New Roman"/>
            <family val="1"/>
          </rPr>
          <t>Difference between center of solar pressure and center of gravity</t>
        </r>
      </text>
    </comment>
    <comment ref="D42" authorId="1" shapeId="0">
      <text>
        <r>
          <rPr>
            <sz val="8"/>
            <color indexed="81"/>
            <rFont val="Times New Roman"/>
            <family val="1"/>
          </rPr>
          <t>1.  Direct input from Cell C37
2.  Set to 0.25</t>
        </r>
      </text>
    </comment>
    <comment ref="D44" authorId="1" shapeId="0">
      <text>
        <r>
          <rPr>
            <sz val="8"/>
            <color indexed="81"/>
            <rFont val="Times New Roman"/>
            <family val="1"/>
          </rPr>
          <t>1.  Direct input from Cell C39
2.  Retrieved from "Orbits - Dynamics"</t>
        </r>
      </text>
    </comment>
    <comment ref="D45" authorId="1" shapeId="0">
      <text>
        <r>
          <rPr>
            <sz val="8"/>
            <color indexed="81"/>
            <rFont val="Times New Roman"/>
            <family val="1"/>
          </rPr>
          <t>1.  Direct input from Cell C40
2.  Set to 0.6</t>
        </r>
      </text>
    </comment>
    <comment ref="D46" authorId="1" shapeId="0">
      <text>
        <r>
          <rPr>
            <sz val="8"/>
            <color indexed="81"/>
            <rFont val="Times New Roman"/>
            <family val="1"/>
          </rPr>
          <t>1.  Direct input from Cell C41
2.  Set to 1.0</t>
        </r>
      </text>
    </comment>
    <comment ref="D48" authorId="1" shapeId="0">
      <text>
        <r>
          <rPr>
            <sz val="8"/>
            <color indexed="81"/>
            <rFont val="Times New Roman"/>
            <family val="1"/>
          </rPr>
          <t>1.  Retrieved from "SC Bus - Preliminary Sizing"
2.  Left blank</t>
        </r>
      </text>
    </comment>
    <comment ref="D49" authorId="1" shapeId="0">
      <text>
        <r>
          <rPr>
            <sz val="8"/>
            <color indexed="81"/>
            <rFont val="Times New Roman"/>
            <family val="1"/>
          </rPr>
          <t>1.  Calculated from cylinder length (Cell D43) and 
      the s/c volume.
2.  Left blank</t>
        </r>
      </text>
    </comment>
    <comment ref="D50" authorId="1" shapeId="0">
      <text>
        <r>
          <rPr>
            <sz val="8"/>
            <color indexed="81"/>
            <rFont val="Times New Roman"/>
            <family val="1"/>
          </rPr>
          <t>I  =  (m/12) [3 R^2 + L^2]</t>
        </r>
      </text>
    </comment>
    <comment ref="D51" authorId="1" shapeId="0">
      <text>
        <r>
          <rPr>
            <sz val="8"/>
            <color indexed="81"/>
            <rFont val="Times New Roman"/>
            <family val="1"/>
          </rPr>
          <t>I  =  (m R^2) / 2</t>
        </r>
      </text>
    </comment>
    <comment ref="D60" authorId="1" shapeId="0">
      <text>
        <r>
          <rPr>
            <sz val="8"/>
            <color indexed="81"/>
            <rFont val="Times New Roman"/>
            <family val="1"/>
          </rPr>
          <t>1.  Direct input from Cell C55
2.  Left blank</t>
        </r>
      </text>
    </comment>
    <comment ref="D61" authorId="1" shapeId="0">
      <text>
        <r>
          <rPr>
            <sz val="8"/>
            <color indexed="81"/>
            <rFont val="Times New Roman"/>
            <family val="1"/>
          </rPr>
          <t>1.  Direct input from Cell C56
2.  Left blank</t>
        </r>
      </text>
    </comment>
  </commentList>
</comments>
</file>

<file path=xl/comments2.xml><?xml version="1.0" encoding="utf-8"?>
<comments xmlns="http://schemas.openxmlformats.org/spreadsheetml/2006/main">
  <authors>
    <author>Loris Franchi</author>
  </authors>
  <commentList>
    <comment ref="D6" authorId="0" shapeId="0">
      <text>
        <r>
          <rPr>
            <b/>
            <sz val="9"/>
            <color indexed="81"/>
            <rFont val="Tahoma"/>
            <family val="2"/>
          </rPr>
          <t>Loris Franchi:</t>
        </r>
        <r>
          <rPr>
            <sz val="9"/>
            <color indexed="81"/>
            <rFont val="Tahoma"/>
            <family val="2"/>
          </rPr>
          <t xml:space="preserve">
Marco was with wrong Sheet name</t>
        </r>
      </text>
    </comment>
  </commentList>
</comments>
</file>

<file path=xl/comments3.xml><?xml version="1.0" encoding="utf-8"?>
<comments xmlns="http://schemas.openxmlformats.org/spreadsheetml/2006/main">
  <authors>
    <author>David J. Cloud</author>
  </authors>
  <commentList>
    <comment ref="E8" authorId="0" shapeId="0">
      <text>
        <r>
          <rPr>
            <sz val="8"/>
            <color indexed="81"/>
            <rFont val="Times New Roman"/>
            <family val="1"/>
          </rPr>
          <t>1.  Retrieved from "Attitude Control - Torques"
2.  Left blank</t>
        </r>
      </text>
    </comment>
    <comment ref="K8" authorId="0" shapeId="0">
      <text>
        <r>
          <rPr>
            <sz val="8"/>
            <color indexed="81"/>
            <rFont val="Times New Roman"/>
            <family val="1"/>
          </rPr>
          <t>1.  Retrieved from "Attitude Control - Torques"</t>
        </r>
      </text>
    </comment>
    <comment ref="Q8" authorId="0" shapeId="0">
      <text>
        <r>
          <rPr>
            <sz val="8"/>
            <color indexed="81"/>
            <rFont val="Times New Roman"/>
            <family val="1"/>
          </rPr>
          <t>1.  Direct input from Cell P8
2.  Retrieved from "Attitude Control - Torques"
3.  Left blank</t>
        </r>
      </text>
    </comment>
    <comment ref="E9" authorId="0" shapeId="0">
      <text>
        <r>
          <rPr>
            <sz val="8"/>
            <color indexed="81"/>
            <rFont val="Times New Roman"/>
            <family val="1"/>
          </rPr>
          <t>Table 6-2, p 137</t>
        </r>
      </text>
    </comment>
    <comment ref="K9" authorId="0" shapeId="0">
      <text>
        <r>
          <rPr>
            <sz val="8"/>
            <color indexed="81"/>
            <rFont val="Times New Roman"/>
            <family val="1"/>
          </rPr>
          <t>1.  Retrieved from "Attitude Control - Torques"
2.  Left blank</t>
        </r>
      </text>
    </comment>
    <comment ref="Q9" authorId="0" shapeId="0">
      <text>
        <r>
          <rPr>
            <sz val="8"/>
            <color indexed="81"/>
            <rFont val="Times New Roman"/>
            <family val="1"/>
          </rPr>
          <t>1.  Retrieved from "Attitude Control - Torques"
2.  Left blank</t>
        </r>
      </text>
    </comment>
    <comment ref="E10" authorId="0" shapeId="0">
      <text>
        <r>
          <rPr>
            <sz val="8"/>
            <color indexed="81"/>
            <rFont val="Times New Roman"/>
            <family val="1"/>
          </rPr>
          <t>1.  Retrieved from "Attitude Control - Torques"
2.  Left blank</t>
        </r>
      </text>
    </comment>
    <comment ref="E16" authorId="0" shapeId="0">
      <text>
        <r>
          <rPr>
            <sz val="8"/>
            <color indexed="81"/>
            <rFont val="Times New Roman"/>
            <family val="1"/>
          </rPr>
          <t>1.  Direct input from Cell D16
2.  Set equal to total disturbance torque (Cell K8)</t>
        </r>
      </text>
    </comment>
    <comment ref="K16" authorId="0" shapeId="0">
      <text>
        <r>
          <rPr>
            <sz val="8"/>
            <color indexed="81"/>
            <rFont val="Times New Roman"/>
            <family val="1"/>
          </rPr>
          <t>1.  Direct input from Cell J16
2.  Left blank</t>
        </r>
      </text>
    </comment>
    <comment ref="Q16" authorId="0" shapeId="0">
      <text>
        <r>
          <rPr>
            <sz val="8"/>
            <color indexed="81"/>
            <rFont val="Times New Roman"/>
            <family val="1"/>
          </rPr>
          <t>Table 11-12, p 370</t>
        </r>
      </text>
    </comment>
    <comment ref="E17" authorId="0" shapeId="0">
      <text>
        <r>
          <rPr>
            <sz val="8"/>
            <color indexed="81"/>
            <rFont val="Times New Roman"/>
            <family val="1"/>
          </rPr>
          <t>1.  Direct input from Cell D17
2.  Left blank</t>
        </r>
      </text>
    </comment>
    <comment ref="K17" authorId="0" shapeId="0">
      <text>
        <r>
          <rPr>
            <sz val="8"/>
            <color indexed="81"/>
            <rFont val="Times New Roman"/>
            <family val="1"/>
          </rPr>
          <t>1.  Direct input from Cell J17
2.  Left blank</t>
        </r>
      </text>
    </comment>
    <comment ref="Q17" authorId="0" shapeId="0">
      <text>
        <r>
          <rPr>
            <sz val="8"/>
            <color indexed="81"/>
            <rFont val="Times New Roman"/>
            <family val="1"/>
          </rPr>
          <t>Table 11-12, p 370</t>
        </r>
      </text>
    </comment>
    <comment ref="E26" authorId="0" shapeId="0">
      <text>
        <r>
          <rPr>
            <sz val="8"/>
            <color indexed="81"/>
            <rFont val="Tahoma"/>
            <family val="2"/>
          </rPr>
          <t>1.  Direct input from Cell D26
2.  Set equal to total disturbance torque (Cell K8) 
     divided by square root of 2</t>
        </r>
      </text>
    </comment>
    <comment ref="K26" authorId="0" shapeId="0">
      <text>
        <r>
          <rPr>
            <sz val="8"/>
            <color indexed="81"/>
            <rFont val="Times New Roman"/>
            <family val="1"/>
          </rPr>
          <t>1.  Direct input from Cell J26
2.  Left blank</t>
        </r>
      </text>
    </comment>
    <comment ref="Q26" authorId="0" shapeId="0">
      <text>
        <r>
          <rPr>
            <sz val="8"/>
            <color indexed="81"/>
            <rFont val="Times New Roman"/>
            <family val="1"/>
          </rPr>
          <t>Table 11-12, p 370</t>
        </r>
      </text>
    </comment>
    <comment ref="E27" authorId="0" shapeId="0">
      <text>
        <r>
          <rPr>
            <sz val="8"/>
            <color indexed="81"/>
            <rFont val="Times New Roman"/>
            <family val="1"/>
          </rPr>
          <t>1.  Direct input from Cell D27
2.  Set equal to 1/4 of orbit period (Cell E9)
3.  Left blank</t>
        </r>
      </text>
    </comment>
    <comment ref="K27" authorId="0" shapeId="0">
      <text>
        <r>
          <rPr>
            <sz val="8"/>
            <color indexed="81"/>
            <rFont val="Times New Roman"/>
            <family val="1"/>
          </rPr>
          <t>1.  Direct input from Cell J27
2.  Left blank</t>
        </r>
      </text>
    </comment>
    <comment ref="Q27" authorId="0" shapeId="0">
      <text>
        <r>
          <rPr>
            <sz val="8"/>
            <color indexed="81"/>
            <rFont val="Times New Roman"/>
            <family val="1"/>
          </rPr>
          <t>Table 11-12, p 370</t>
        </r>
      </text>
    </comment>
    <comment ref="E41" authorId="0" shapeId="0">
      <text>
        <r>
          <rPr>
            <sz val="8"/>
            <color indexed="81"/>
            <rFont val="Times New Roman"/>
            <family val="1"/>
          </rPr>
          <t>Table 11-13, p372</t>
        </r>
      </text>
    </comment>
    <comment ref="K41" authorId="0" shapeId="0">
      <text>
        <r>
          <rPr>
            <sz val="8"/>
            <color indexed="81"/>
            <rFont val="Times New Roman"/>
            <family val="1"/>
          </rPr>
          <t>1.  Direct input from Cell J41
2.  Retrieved from Cell Q16 (required angular momentum)
3.  Left blank</t>
        </r>
      </text>
    </comment>
    <comment ref="Q41" authorId="0" shapeId="0">
      <text>
        <r>
          <rPr>
            <sz val="8"/>
            <color indexed="81"/>
            <rFont val="Times New Roman"/>
            <family val="1"/>
          </rPr>
          <t>1.  Direct input from Cell P41
2.  Left blank</t>
        </r>
      </text>
    </comment>
    <comment ref="E42" authorId="0" shapeId="0">
      <text>
        <r>
          <rPr>
            <sz val="8"/>
            <color indexed="81"/>
            <rFont val="Times New Roman"/>
            <family val="1"/>
          </rPr>
          <t>1.  Direct input from Cell D42
2.  Left blank</t>
        </r>
      </text>
    </comment>
    <comment ref="K42" authorId="0" shapeId="0">
      <text>
        <r>
          <rPr>
            <sz val="8"/>
            <color indexed="81"/>
            <rFont val="Times New Roman"/>
            <family val="1"/>
          </rPr>
          <t>Set equal to required slew rate for zero momentum slew maneuver</t>
        </r>
      </text>
    </comment>
    <comment ref="Q42" authorId="0" shapeId="0">
      <text>
        <r>
          <rPr>
            <sz val="8"/>
            <color indexed="81"/>
            <rFont val="Times New Roman"/>
            <family val="1"/>
          </rPr>
          <t>1.  Direct input from Cell P42
2.  Set to blank if no slew maneuvers (Cell Q41 is blank)
3.  Calculated from burn time to achieve slew rate for zero 
     momentum slew (Cell E42)
4.  Calculated from burn time per maneuver for momentum 
     bias slew (Cell K42)
5.  Left blank</t>
        </r>
      </text>
    </comment>
    <comment ref="E43" authorId="0" shapeId="0">
      <text>
        <r>
          <rPr>
            <sz val="8"/>
            <color indexed="81"/>
            <rFont val="Times New Roman"/>
            <family val="1"/>
          </rPr>
          <t>Table 11-13, p372</t>
        </r>
      </text>
    </comment>
    <comment ref="K43" authorId="0" shapeId="0">
      <text>
        <r>
          <rPr>
            <sz val="8"/>
            <color indexed="81"/>
            <rFont val="Times New Roman"/>
            <family val="1"/>
          </rPr>
          <t>1.  Direct input from Cell J43
2.  Set to 0.10</t>
        </r>
      </text>
    </comment>
    <comment ref="E44" authorId="0" shapeId="0">
      <text>
        <r>
          <rPr>
            <sz val="8"/>
            <color indexed="81"/>
            <rFont val="Times New Roman"/>
            <family val="1"/>
          </rPr>
          <t>Table 11-13, p 372</t>
        </r>
      </text>
    </comment>
    <comment ref="K44" authorId="0" shapeId="0">
      <text>
        <r>
          <rPr>
            <sz val="8"/>
            <color indexed="81"/>
            <rFont val="Times New Roman"/>
            <family val="1"/>
          </rPr>
          <t>Set equal to slew maneuver time (Cell Q8) times thruster duty cycle (Cell K43)</t>
        </r>
      </text>
    </comment>
    <comment ref="Q44" authorId="0" shapeId="0">
      <text>
        <r>
          <rPr>
            <sz val="8"/>
            <color indexed="81"/>
            <rFont val="Times New Roman"/>
            <family val="1"/>
          </rPr>
          <t>1.  Direct input from Cell P44
2.  Left blank</t>
        </r>
      </text>
    </comment>
    <comment ref="K45" authorId="0" shapeId="0">
      <text>
        <r>
          <rPr>
            <sz val="8"/>
            <color indexed="81"/>
            <rFont val="Times New Roman"/>
            <family val="1"/>
          </rPr>
          <t>Table 11-13, p 372</t>
        </r>
      </text>
    </comment>
    <comment ref="Q45" authorId="0" shapeId="0">
      <text>
        <r>
          <rPr>
            <sz val="8"/>
            <color indexed="81"/>
            <rFont val="Times New Roman"/>
            <family val="1"/>
          </rPr>
          <t>Set equal to thruster burn time for momentum dumping maneuvers (Cell E49) times number of dumping maneuvers (Cell Q44)</t>
        </r>
      </text>
    </comment>
    <comment ref="Q47" authorId="0" shapeId="0">
      <text>
        <r>
          <rPr>
            <sz val="8"/>
            <color indexed="81"/>
            <rFont val="Times New Roman"/>
            <family val="1"/>
          </rPr>
          <t>1.  Set to blank if no burn times are available
2.  Set to burn time for all dumping maneuvers 
     if no slew maneuvers
3.  Set to burn time for all slew manevers if no 
     dumping maneuvers
4.  Set to sum of burn times for slew 
     maneuvers and dumping maneuvers</t>
        </r>
      </text>
    </comment>
    <comment ref="E48" authorId="0" shapeId="0">
      <text>
        <r>
          <rPr>
            <sz val="8"/>
            <color indexed="81"/>
            <rFont val="Times New Roman"/>
            <family val="1"/>
          </rPr>
          <t>1.  Direct input from Cell D48
2.  Left blank</t>
        </r>
      </text>
    </comment>
    <comment ref="E49" authorId="0" shapeId="0">
      <text>
        <r>
          <rPr>
            <sz val="8"/>
            <color indexed="81"/>
            <rFont val="Times New Roman"/>
            <family val="1"/>
          </rPr>
          <t>1.  Direct input from Cell D49
2.  Left blank</t>
        </r>
      </text>
    </comment>
    <comment ref="E50" authorId="0" shapeId="0">
      <text>
        <r>
          <rPr>
            <sz val="8"/>
            <color indexed="81"/>
            <rFont val="Times New Roman"/>
            <family val="1"/>
          </rPr>
          <t>Table 11-13, p 373</t>
        </r>
      </text>
    </comment>
    <comment ref="Q50" authorId="0" shapeId="0">
      <text>
        <r>
          <rPr>
            <sz val="8"/>
            <color indexed="81"/>
            <rFont val="Times New Roman"/>
            <family val="1"/>
          </rPr>
          <t>Max of thrust levels for zero-momentum slew (Cell E44), momentum bias slew (Cell K45), and momentum dumping (Cell E50)</t>
        </r>
      </text>
    </comment>
    <comment ref="Q51" authorId="0" shapeId="0">
      <text>
        <r>
          <rPr>
            <sz val="8"/>
            <color indexed="81"/>
            <rFont val="Times New Roman"/>
            <family val="1"/>
          </rPr>
          <t>1.  Direct input from Cell P50
2.  Left blank</t>
        </r>
      </text>
    </comment>
    <comment ref="Q52" authorId="0" shapeId="0">
      <text>
        <r>
          <rPr>
            <sz val="8"/>
            <color indexed="81"/>
            <rFont val="Times New Roman"/>
            <family val="1"/>
          </rPr>
          <t>1.  Direct input from Cell P51
2.  Retrieved from "Propulsion - Thermodyanmics"
3.  Retrieved from "SC Bus - Preliminary Sizing"
4.  Left blank</t>
        </r>
      </text>
    </comment>
    <comment ref="Q53" authorId="0" shapeId="0">
      <text>
        <r>
          <rPr>
            <sz val="8"/>
            <color indexed="81"/>
            <rFont val="Times New Roman"/>
            <family val="1"/>
          </rPr>
          <t>Table 11-13, p 373</t>
        </r>
      </text>
    </comment>
    <comment ref="E61" authorId="0" shapeId="0">
      <text>
        <r>
          <rPr>
            <sz val="8"/>
            <color indexed="81"/>
            <rFont val="Times New Roman"/>
            <family val="1"/>
          </rPr>
          <t>1.  Direct input from Cell D61
2.  Set equal to total disturbance torque (Cell K8)</t>
        </r>
      </text>
    </comment>
    <comment ref="K61" authorId="0" shapeId="0">
      <text>
        <r>
          <rPr>
            <sz val="8"/>
            <color indexed="81"/>
            <rFont val="Times New Roman"/>
            <family val="1"/>
          </rPr>
          <t>Table 11-12, p 370
Table 11-9a, p 366</t>
        </r>
      </text>
    </comment>
    <comment ref="Q61" authorId="0" shapeId="0">
      <text>
        <r>
          <rPr>
            <sz val="8"/>
            <color indexed="81"/>
            <rFont val="Times New Roman"/>
            <family val="1"/>
          </rPr>
          <t>1.  Direct input from Cell P61
2.  Calculated using coil area (Cell P62), current (Cell P63), 
     and required torquer dipole (Cell K61)  [D  =  N I A]
3.  Left blank</t>
        </r>
      </text>
    </comment>
    <comment ref="E62" authorId="0" shapeId="0">
      <text>
        <r>
          <rPr>
            <sz val="8"/>
            <color indexed="81"/>
            <rFont val="Times New Roman"/>
            <family val="1"/>
          </rPr>
          <t>1.  Direct input from Cell D62
2.  Set to 0.5</t>
        </r>
      </text>
    </comment>
    <comment ref="K62" authorId="0" shapeId="0">
      <text>
        <r>
          <rPr>
            <sz val="8"/>
            <color indexed="81"/>
            <rFont val="Times New Roman"/>
            <family val="1"/>
          </rPr>
          <t>1.  Direct input from Cell J62
2.  Set to 1</t>
        </r>
      </text>
    </comment>
    <comment ref="Q62" authorId="0" shapeId="0">
      <text>
        <r>
          <rPr>
            <sz val="8"/>
            <color indexed="81"/>
            <rFont val="Tahoma"/>
            <family val="2"/>
          </rPr>
          <t>1.  Calculated using number of coil turns (Cell Q61), current    
     (Cell Q63), and required torquer dipole (Cell K61)  
     [D  =  N I A]
2   Direct input from Cell P62
3.  Left blank</t>
        </r>
      </text>
    </comment>
    <comment ref="Q63" authorId="0" shapeId="0">
      <text>
        <r>
          <rPr>
            <sz val="8"/>
            <color indexed="81"/>
            <rFont val="Times New Roman"/>
            <family val="1"/>
          </rPr>
          <t>1.  Direct input from Cell P63
2.  Calculated using number of coil turns (Cell P61), coil area    
     (Cell P62), and required torquer dipole (Cell K61)  
     [D  =  N I A]
3.  Set to zero</t>
        </r>
      </text>
    </comment>
    <comment ref="E78" authorId="0" shapeId="0">
      <text>
        <r>
          <rPr>
            <sz val="8"/>
            <color indexed="81"/>
            <rFont val="Times New Roman"/>
            <family val="1"/>
          </rPr>
          <t>1.  Direct input from Cell D72
2.  Left blank</t>
        </r>
      </text>
    </comment>
    <comment ref="K78" authorId="0" shapeId="0">
      <text>
        <r>
          <rPr>
            <sz val="8"/>
            <color indexed="81"/>
            <rFont val="Times New Roman"/>
            <family val="1"/>
          </rPr>
          <t>1.  Direct input from Cell J72 multiplied by number 
     of Earth sensors in Cell E72
2.  Set equal to mass of Earth sensor stored in 
     "Constants" worksheet times number of Earth 
     sensors in Cell E72
3.  Set to zero</t>
        </r>
      </text>
    </comment>
    <comment ref="Q78" authorId="0" shapeId="0">
      <text>
        <r>
          <rPr>
            <sz val="8"/>
            <color indexed="81"/>
            <rFont val="Tahoma"/>
            <family val="2"/>
          </rPr>
          <t>1.  Direct input from Cell P72 multiplied by number of Earth sensors in Cell E72
2.  Set equal to mass of Earth sensor stored in "Constants" worksheet times number of Earth  sensors in Cell E72
3.  Set to zero</t>
        </r>
      </text>
    </comment>
    <comment ref="E79" authorId="0" shapeId="0">
      <text>
        <r>
          <rPr>
            <sz val="8"/>
            <color indexed="81"/>
            <rFont val="Times New Roman"/>
            <family val="1"/>
          </rPr>
          <t>1.  Direct input from Cell D73
2.  Left blank</t>
        </r>
      </text>
    </comment>
    <comment ref="K79" authorId="0" shapeId="0">
      <text>
        <r>
          <rPr>
            <sz val="8"/>
            <color indexed="81"/>
            <rFont val="Tahoma"/>
            <family val="2"/>
          </rPr>
          <t>1.  Direct input from Cell J73 multiplied by number of Sun sensors in Cell E73
2.  Set equal to mass of Sun sensor stored in "Constants" worksheet times number of Sun sensors in Cell E73
3.  Set to zero</t>
        </r>
      </text>
    </comment>
    <comment ref="Q79" authorId="0" shapeId="0">
      <text>
        <r>
          <rPr>
            <sz val="8"/>
            <color indexed="81"/>
            <rFont val="Tahoma"/>
            <family val="2"/>
          </rPr>
          <t>1.  Direct input from Cell P73 multiplied by number of Sun sensors in Cell E73
2.  Set equal to mass of Sun sensor stored in "Constants" worksheet times number of Sun  sensors in Cell E73
3.  Set to zero</t>
        </r>
      </text>
    </comment>
    <comment ref="E80" authorId="0" shapeId="0">
      <text>
        <r>
          <rPr>
            <sz val="8"/>
            <color indexed="81"/>
            <rFont val="Times New Roman"/>
            <family val="1"/>
          </rPr>
          <t>1.  Direct input from Cell D74
2.  Left blank</t>
        </r>
      </text>
    </comment>
    <comment ref="K80" authorId="0" shapeId="0">
      <text>
        <r>
          <rPr>
            <sz val="8"/>
            <color indexed="81"/>
            <rFont val="Tahoma"/>
            <family val="2"/>
          </rPr>
          <t>1.  Direct input from Cell J74 multiplied by number of Star sensors in Cell E74
2.  Set equal to mass of Star sensor stored in "Constants" worksheet times number of Star sensors in Cell E74
3.  Set to zero</t>
        </r>
      </text>
    </comment>
    <comment ref="Q80" authorId="0" shapeId="0">
      <text>
        <r>
          <rPr>
            <sz val="8"/>
            <color indexed="81"/>
            <rFont val="Tahoma"/>
            <family val="2"/>
          </rPr>
          <t>1.  Direct input from Cell P74 multiplied by number of Star sensors in Cell E74
2.  Set equal to mass of Starsensor stored in "Constants" worksheet times number of Star  sensors in Cell E74
3.  Set to zero</t>
        </r>
      </text>
    </comment>
    <comment ref="E81" authorId="0" shapeId="0">
      <text>
        <r>
          <rPr>
            <sz val="8"/>
            <color indexed="81"/>
            <rFont val="Tahoma"/>
            <family val="2"/>
          </rPr>
          <t>1.  Direct input from Cell D75
2.  Left blank</t>
        </r>
      </text>
    </comment>
    <comment ref="K81" authorId="0" shapeId="0">
      <text>
        <r>
          <rPr>
            <sz val="8"/>
            <color indexed="81"/>
            <rFont val="Tahoma"/>
            <family val="2"/>
          </rPr>
          <t>1.  Direct input from Cell J75 multiplied by number of Magnetometers in Cell E75
2.  Set equal to mass of Magnetometersr stored in "Constants" worksheet times number of Magnetometers in Cell E75
3.  Set to zero</t>
        </r>
      </text>
    </comment>
    <comment ref="Q81" authorId="0" shapeId="0">
      <text>
        <r>
          <rPr>
            <sz val="8"/>
            <color indexed="81"/>
            <rFont val="Tahoma"/>
            <family val="2"/>
          </rPr>
          <t>1.  Direct input from Cell P75 multiplied by number of Magnetometers in Cell E75
2.  Set equal to mass of Magnetometers stored in "Constants" worksheet times number of Magnetometers in Cell E75
3.  Set to zero</t>
        </r>
      </text>
    </comment>
    <comment ref="E82" authorId="0" shapeId="0">
      <text>
        <r>
          <rPr>
            <sz val="8"/>
            <color indexed="81"/>
            <rFont val="Times New Roman"/>
            <family val="1"/>
          </rPr>
          <t>1.  Direct input from Cell D76
2.  Left blank</t>
        </r>
      </text>
    </comment>
    <comment ref="K82" authorId="0" shapeId="0">
      <text>
        <r>
          <rPr>
            <sz val="8"/>
            <color indexed="81"/>
            <rFont val="Tahoma"/>
            <family val="2"/>
          </rPr>
          <t>1.  Direct input from Cell J76 multiplied by number of Gyroscopes in Cell E76
2.  Set equal to mass of Gyroscopes stored in "Constants" worksheet times number ofGyroscopes in Cell E76
3.  Set to zero</t>
        </r>
      </text>
    </comment>
    <comment ref="Q82" authorId="0" shapeId="0">
      <text>
        <r>
          <rPr>
            <sz val="8"/>
            <color indexed="81"/>
            <rFont val="Tahoma"/>
            <family val="2"/>
          </rPr>
          <t>1.  Direct input from Cell P76 multiplied by number of Gryoscopes in Cell E76
2.  Set equal to mass of Gyroscopes stored in "Constants" worksheet times number of Gyroscopes in Cell E76
3.  Set to zero</t>
        </r>
      </text>
    </comment>
  </commentList>
</comments>
</file>

<file path=xl/comments4.xml><?xml version="1.0" encoding="utf-8"?>
<comments xmlns="http://schemas.openxmlformats.org/spreadsheetml/2006/main">
  <authors>
    <author>Loris Franchi</author>
  </authors>
  <commentList>
    <comment ref="U45" authorId="0" shapeId="0">
      <text>
        <r>
          <rPr>
            <b/>
            <sz val="9"/>
            <color indexed="81"/>
            <rFont val="Tahoma"/>
            <family val="2"/>
          </rPr>
          <t>Loris Franchi:</t>
        </r>
        <r>
          <rPr>
            <sz val="9"/>
            <color indexed="81"/>
            <rFont val="Tahoma"/>
            <family val="2"/>
          </rPr>
          <t xml:space="preserve">
Assumed Circular Orbit</t>
        </r>
      </text>
    </comment>
  </commentList>
</comments>
</file>

<file path=xl/sharedStrings.xml><?xml version="1.0" encoding="utf-8"?>
<sst xmlns="http://schemas.openxmlformats.org/spreadsheetml/2006/main" count="837" uniqueCount="537">
  <si>
    <t>Orbit Altitude (circular orbit)</t>
  </si>
  <si>
    <t>Perigee Altitude (elliptical orbit)</t>
  </si>
  <si>
    <t>Expected Spacecraft Moment of Inertia</t>
  </si>
  <si>
    <t>Expected Spacecraft Linear Dimension</t>
  </si>
  <si>
    <t>Expected Spacecraft Volume</t>
  </si>
  <si>
    <t>Drag Coefficient</t>
  </si>
  <si>
    <t>Specific Impulse</t>
  </si>
  <si>
    <t>Propulsion</t>
  </si>
  <si>
    <t>Orbit characteristics</t>
  </si>
  <si>
    <t>Environmental torques</t>
  </si>
  <si>
    <t>Altitude</t>
  </si>
  <si>
    <t>km</t>
  </si>
  <si>
    <t>Gravity gradient</t>
  </si>
  <si>
    <t>N-m</t>
  </si>
  <si>
    <t>km/s</t>
  </si>
  <si>
    <t>Solar radiation</t>
  </si>
  <si>
    <t>Magnetic</t>
  </si>
  <si>
    <t>Atmospheric density</t>
  </si>
  <si>
    <t>kg/m^3</t>
  </si>
  <si>
    <t>Aerodynamic</t>
  </si>
  <si>
    <t>Sun incidence angle</t>
  </si>
  <si>
    <t>deg</t>
  </si>
  <si>
    <t>Maximum deviation from local vertical</t>
  </si>
  <si>
    <t>Total (RSS)</t>
  </si>
  <si>
    <t>Spacecraft characteristics</t>
  </si>
  <si>
    <t>Slewing torque</t>
  </si>
  <si>
    <t>Largest moment of inertia</t>
  </si>
  <si>
    <t>kg-m^2</t>
  </si>
  <si>
    <t>Smallest moment of inertia</t>
  </si>
  <si>
    <t>Projected surface area</t>
  </si>
  <si>
    <t>m^2</t>
  </si>
  <si>
    <t>Moment arm for solar radiation torques</t>
  </si>
  <si>
    <t>m</t>
  </si>
  <si>
    <t>Moment arm for aerodynamic torques</t>
  </si>
  <si>
    <t>Drag coefficient</t>
  </si>
  <si>
    <t>Surface reflectivity</t>
  </si>
  <si>
    <t>Residual dipole</t>
  </si>
  <si>
    <t>A-m^2</t>
  </si>
  <si>
    <t>Slew characteristics</t>
  </si>
  <si>
    <t>Maximum slewing angle</t>
  </si>
  <si>
    <t>Minimum maneuver time</t>
  </si>
  <si>
    <t>sec</t>
  </si>
  <si>
    <t>(All information on this sheet is contained in the block from Cell A1 to Cell R33)</t>
  </si>
  <si>
    <t>Orbit altitude</t>
  </si>
  <si>
    <t>Total disturbance torque</t>
  </si>
  <si>
    <t>Slew maneuver time</t>
  </si>
  <si>
    <t>Orbit period</t>
  </si>
  <si>
    <t>min</t>
  </si>
  <si>
    <t>Required slewing torque</t>
  </si>
  <si>
    <t>Slewing angle</t>
  </si>
  <si>
    <t>Satellite moment of inertia</t>
  </si>
  <si>
    <t>Momentum Bias System (Momentum Wheel)</t>
  </si>
  <si>
    <t>Torque for sizing</t>
  </si>
  <si>
    <t>Wheel radius</t>
  </si>
  <si>
    <t>Required angular momentum</t>
  </si>
  <si>
    <t>N-m-s</t>
  </si>
  <si>
    <t>Allowable angular displacement</t>
  </si>
  <si>
    <t>Wheel angular velocity</t>
  </si>
  <si>
    <t>rpm</t>
  </si>
  <si>
    <t>Wheel mass</t>
  </si>
  <si>
    <t>kg</t>
  </si>
  <si>
    <t>Zero-Momentum System (Reaction Wheel)</t>
  </si>
  <si>
    <t>Total time sizing torque is applied</t>
  </si>
  <si>
    <t>Thruster</t>
  </si>
  <si>
    <t>Thruster moment arm</t>
  </si>
  <si>
    <t>Thruster description</t>
  </si>
  <si>
    <t>Number of slew maneuvers</t>
  </si>
  <si>
    <t>Slew maneuver - zero momentum system</t>
  </si>
  <si>
    <t>Slew maneuver - momentum bias system</t>
  </si>
  <si>
    <t>Burn time for all slew maneuvers</t>
  </si>
  <si>
    <t>Required slew rate</t>
  </si>
  <si>
    <t>deg/s</t>
  </si>
  <si>
    <t>System angular momentum</t>
  </si>
  <si>
    <t>Burn time to achieve slew rate</t>
  </si>
  <si>
    <t>Number of dumping maneuvers</t>
  </si>
  <si>
    <t>Angular acceleration</t>
  </si>
  <si>
    <t>deg/s^2</t>
  </si>
  <si>
    <t>Thruster duty cycle</t>
  </si>
  <si>
    <t>Burn time for all dumping maneuvers</t>
  </si>
  <si>
    <t>Thrust level (assuming pairs)</t>
  </si>
  <si>
    <t>N</t>
  </si>
  <si>
    <t>Burn time per maneuver</t>
  </si>
  <si>
    <t>Total burn time</t>
  </si>
  <si>
    <t>Momentum dumping</t>
  </si>
  <si>
    <t>Stored angular momentum</t>
  </si>
  <si>
    <t>Thruster size (assuming pairs)</t>
  </si>
  <si>
    <t>Thruster burn time</t>
  </si>
  <si>
    <t>Specific impulse</t>
  </si>
  <si>
    <t>Propellant mass</t>
  </si>
  <si>
    <t>Magnetic torquer</t>
  </si>
  <si>
    <t>Required torquer dipole</t>
  </si>
  <si>
    <t>Number of coil turns</t>
  </si>
  <si>
    <t>Mass of torquer</t>
  </si>
  <si>
    <t>Duty cycle (per orbit period)</t>
  </si>
  <si>
    <t>Coil area</t>
  </si>
  <si>
    <t>Current</t>
  </si>
  <si>
    <t>A</t>
  </si>
  <si>
    <t>Sensors</t>
  </si>
  <si>
    <t>Total mass of sensors</t>
  </si>
  <si>
    <t>Total power of sensors</t>
  </si>
  <si>
    <t>W</t>
  </si>
  <si>
    <t>Number of Earth sensors</t>
  </si>
  <si>
    <t>Mass of Earth sensors</t>
  </si>
  <si>
    <t>Power for Earth sensors</t>
  </si>
  <si>
    <t>Number of Sun sensors</t>
  </si>
  <si>
    <t>Mass of Sun sensors</t>
  </si>
  <si>
    <t>Power for Sun sensors</t>
  </si>
  <si>
    <t>Number of star sensors</t>
  </si>
  <si>
    <t>Mass of star sensors</t>
  </si>
  <si>
    <t>Power for star sensors</t>
  </si>
  <si>
    <t>Number of magnetometers</t>
  </si>
  <si>
    <t>Mass of magnetometers</t>
  </si>
  <si>
    <t>Power for magnetometers</t>
  </si>
  <si>
    <t>Number of gyroscopes</t>
  </si>
  <si>
    <t>Mass of gyroscopes</t>
  </si>
  <si>
    <t>Power for gyroscopes</t>
  </si>
  <si>
    <t>Communications</t>
  </si>
  <si>
    <t>Power</t>
  </si>
  <si>
    <t>Payload</t>
  </si>
  <si>
    <t>Speed of Light</t>
  </si>
  <si>
    <t>m/s</t>
  </si>
  <si>
    <t>Planck's Constant</t>
  </si>
  <si>
    <t>W-s^2</t>
  </si>
  <si>
    <t>Boltzmann's Constant</t>
  </si>
  <si>
    <t>W-s/K</t>
  </si>
  <si>
    <t>Density</t>
  </si>
  <si>
    <t xml:space="preserve"> </t>
  </si>
  <si>
    <t>Curve Fit Coefficients</t>
  </si>
  <si>
    <t>Stefan-Boltzmann Constant</t>
  </si>
  <si>
    <t>W/m^2/K^4</t>
  </si>
  <si>
    <t>Scale Height</t>
  </si>
  <si>
    <t>Min</t>
  </si>
  <si>
    <t>Mean</t>
  </si>
  <si>
    <t>Max</t>
  </si>
  <si>
    <t>km^3/sec^2</t>
  </si>
  <si>
    <t>tesla-m^2</t>
  </si>
  <si>
    <t>W/m^2</t>
  </si>
  <si>
    <t>Rain Temperature</t>
  </si>
  <si>
    <t>K</t>
  </si>
  <si>
    <t>Conversion from inches to meters</t>
  </si>
  <si>
    <t>Percentage of</t>
  </si>
  <si>
    <t>S/C dry mass</t>
  </si>
  <si>
    <t>TT&amp;C</t>
  </si>
  <si>
    <t>Structure</t>
  </si>
  <si>
    <t>ADCS</t>
  </si>
  <si>
    <t>Thermal</t>
  </si>
  <si>
    <t>Percent of Operating Power</t>
  </si>
  <si>
    <t>Attitude Control</t>
  </si>
  <si>
    <t>C&amp;DH</t>
  </si>
  <si>
    <t>% between</t>
  </si>
  <si>
    <t>Min Mass</t>
  </si>
  <si>
    <t>Max Mass</t>
  </si>
  <si>
    <t>Min Power</t>
  </si>
  <si>
    <t>Max Power</t>
  </si>
  <si>
    <t>min &amp; max</t>
  </si>
  <si>
    <t>Mass (kg)</t>
  </si>
  <si>
    <t>Power (W)</t>
  </si>
  <si>
    <t>Earth Sensor</t>
  </si>
  <si>
    <t>Sun Sensor</t>
  </si>
  <si>
    <t>Star Sensor</t>
  </si>
  <si>
    <t>Magnetometer</t>
  </si>
  <si>
    <t>Gyroscope</t>
  </si>
  <si>
    <t>Output</t>
  </si>
  <si>
    <t>Input</t>
  </si>
  <si>
    <t>Curve Fit</t>
  </si>
  <si>
    <t>DT D</t>
  </si>
  <si>
    <t>(DT D)^-1</t>
  </si>
  <si>
    <t>DT y</t>
  </si>
  <si>
    <t>Coefficients</t>
  </si>
  <si>
    <t>Mass</t>
  </si>
  <si>
    <t>SSPA</t>
  </si>
  <si>
    <t>TWTA</t>
  </si>
  <si>
    <t>Nickel-Hydrogen</t>
  </si>
  <si>
    <t xml:space="preserve">DOD = </t>
  </si>
  <si>
    <t>log10(cycles)</t>
  </si>
  <si>
    <t>+</t>
  </si>
  <si>
    <t>Nickel-Cadmium</t>
  </si>
  <si>
    <t>For cylinder variable below 300</t>
  </si>
  <si>
    <t>For cylinder variable at or above 300</t>
  </si>
  <si>
    <t>Cylinder</t>
  </si>
  <si>
    <t>Buckling</t>
  </si>
  <si>
    <t>Variable</t>
  </si>
  <si>
    <t>Coeff</t>
  </si>
  <si>
    <t>Fiscal</t>
  </si>
  <si>
    <t>Inflation</t>
  </si>
  <si>
    <t>Year</t>
  </si>
  <si>
    <t>Factor to</t>
  </si>
  <si>
    <t>Base Year 2000</t>
  </si>
  <si>
    <t>Fraction of</t>
  </si>
  <si>
    <t>Non-Recurring</t>
  </si>
  <si>
    <t>Recurring</t>
  </si>
  <si>
    <t>S/C Bus Cost</t>
  </si>
  <si>
    <t>Percentage</t>
  </si>
  <si>
    <t>Spacecraft Bus</t>
  </si>
  <si>
    <t>Integration Assembly &amp; Test</t>
  </si>
  <si>
    <t>Program Level</t>
  </si>
  <si>
    <t>Ground Support Equipment</t>
  </si>
  <si>
    <t>Launch &amp; Orbital Ops Support</t>
  </si>
  <si>
    <t>New design with advanced development</t>
  </si>
  <si>
    <t>Nominal new design</t>
  </si>
  <si>
    <t>Major modification to existing design</t>
  </si>
  <si>
    <t>Moderate modifications to existing design</t>
  </si>
  <si>
    <t>Basically existing design</t>
  </si>
  <si>
    <t>Spacecraft Drag Coefficient</t>
  </si>
  <si>
    <t>Total Mass ADCS Sensors</t>
  </si>
  <si>
    <t>Momentum Wheel Mass</t>
  </si>
  <si>
    <t>Magnetic Torquer Mass</t>
  </si>
  <si>
    <t>Reaction Wheel Mass</t>
  </si>
  <si>
    <t>Thrusters Propellant Mass</t>
  </si>
  <si>
    <t>m3</t>
  </si>
  <si>
    <t>m2</t>
  </si>
  <si>
    <t>s</t>
  </si>
  <si>
    <t>Estimated Spacecraft Loaded Mass</t>
  </si>
  <si>
    <t>Length of Cylinder</t>
  </si>
  <si>
    <t>Radius of Cylinder</t>
  </si>
  <si>
    <t>Lateral Moment of Inertia</t>
  </si>
  <si>
    <t>Longitudinal Moment of Inertia</t>
  </si>
  <si>
    <t>(All information on this sheet is contained in the block from Cell A1 to Cell K32)</t>
  </si>
  <si>
    <t>Torques</t>
  </si>
  <si>
    <t>Properties</t>
  </si>
  <si>
    <t>Calculations</t>
  </si>
  <si>
    <t>Inputs from OCDT</t>
  </si>
  <si>
    <t>Outputs to OCDT</t>
  </si>
  <si>
    <t>-</t>
  </si>
  <si>
    <t>kg*m2</t>
  </si>
  <si>
    <t>Expected Spacecraft Projected Area</t>
  </si>
  <si>
    <t>Total Power ADCS Sensors</t>
  </si>
  <si>
    <t>Current Magnetic Torquer</t>
  </si>
  <si>
    <t>Magnetic Torquer Duty Cycle</t>
  </si>
  <si>
    <t>[alt]</t>
  </si>
  <si>
    <t>[alt_peri]</t>
  </si>
  <si>
    <t>[m]</t>
  </si>
  <si>
    <t>[I_sp]</t>
  </si>
  <si>
    <t>[P_duty_cycle]</t>
  </si>
  <si>
    <t>[P]</t>
  </si>
  <si>
    <t>Option:</t>
  </si>
  <si>
    <t>Default</t>
  </si>
  <si>
    <t>[I]</t>
  </si>
  <si>
    <t>[len]</t>
  </si>
  <si>
    <t>[V]</t>
  </si>
  <si>
    <t>[m_wet]</t>
  </si>
  <si>
    <t>[drag_coeff]</t>
  </si>
  <si>
    <t>[MoI]</t>
  </si>
  <si>
    <t>[area_proj]</t>
  </si>
  <si>
    <t>NAME</t>
  </si>
  <si>
    <t>Absorptivity</t>
  </si>
  <si>
    <t>Reflectance</t>
  </si>
  <si>
    <t>OpticalSolarReflector</t>
  </si>
  <si>
    <t>QuartzOverSilver</t>
  </si>
  <si>
    <t>0.077</t>
  </si>
  <si>
    <t>SilvercoatedFEP</t>
  </si>
  <si>
    <t>SilveredTeflon</t>
  </si>
  <si>
    <t>AluminizedTeflon</t>
  </si>
  <si>
    <t>WhiteEpoxy</t>
  </si>
  <si>
    <t>WhiteEnamel</t>
  </si>
  <si>
    <t>AluminizedFEP</t>
  </si>
  <si>
    <t>SolarCellFusedSilica</t>
  </si>
  <si>
    <t>0.025</t>
  </si>
  <si>
    <t>Titanium6AL4V</t>
  </si>
  <si>
    <t>SteelAm350</t>
  </si>
  <si>
    <t>Gold</t>
  </si>
  <si>
    <t>Aluminum606T6</t>
  </si>
  <si>
    <t>GoldizedKapton</t>
  </si>
  <si>
    <t>Spacecraft Surface Material</t>
  </si>
  <si>
    <t xml:space="preserve">Control bandwidth </t>
  </si>
  <si>
    <t>Hz</t>
  </si>
  <si>
    <t>Nm/rad</t>
  </si>
  <si>
    <t>Orbit eccentricity</t>
  </si>
  <si>
    <t>Orbit inclination</t>
  </si>
  <si>
    <t>Orbit RAAN</t>
  </si>
  <si>
    <t>Orbit Semi-Major Axis</t>
  </si>
  <si>
    <t>Satellite velocity ( at periapsis If elliptical)</t>
  </si>
  <si>
    <t>[]</t>
  </si>
  <si>
    <t>Central Body</t>
  </si>
  <si>
    <t>Drag Table</t>
  </si>
  <si>
    <t>Sun - Gravitational Constant</t>
  </si>
  <si>
    <t>Radius of Earth Orbit around the Sun</t>
  </si>
  <si>
    <t>Earth - Orbital Period</t>
  </si>
  <si>
    <t>days</t>
  </si>
  <si>
    <t>Earth - Radius</t>
  </si>
  <si>
    <t>Earth - Gravitational Constant</t>
  </si>
  <si>
    <t>Earth - Sidereal Day</t>
  </si>
  <si>
    <t>hours</t>
  </si>
  <si>
    <t>Earth - Solar Day</t>
  </si>
  <si>
    <t>Radius of Planet Orbit around the Sun (AU)</t>
  </si>
  <si>
    <t>Planet - Orbital Period</t>
  </si>
  <si>
    <t>Planet - Radius</t>
  </si>
  <si>
    <t>Planet - Gravitational Constant</t>
  </si>
  <si>
    <t>Planet - J2</t>
  </si>
  <si>
    <t>Planet - Moon Node Precession Coefficient</t>
  </si>
  <si>
    <t>Planet - Sun Node Precession Coefficient</t>
  </si>
  <si>
    <t>Planet - Moon Perigee Rotation Coefficient</t>
  </si>
  <si>
    <t>Planet - Sun Perigee Rotation Coefficient</t>
  </si>
  <si>
    <t>Planet - Sidereal Day</t>
  </si>
  <si>
    <t>Planet - Solar Day</t>
  </si>
  <si>
    <t>Planet - Velocity at Equator</t>
  </si>
  <si>
    <t>Planet - Magnetic Moment</t>
  </si>
  <si>
    <t>Planet - Maximum IR Emission</t>
  </si>
  <si>
    <t>Mass Distribution for Selected Spacecraft</t>
  </si>
  <si>
    <t>Planets Data</t>
  </si>
  <si>
    <t>AU</t>
  </si>
  <si>
    <t>Max_IR</t>
  </si>
  <si>
    <t>Min_IR</t>
  </si>
  <si>
    <t>Albedo</t>
  </si>
  <si>
    <t>Mu</t>
  </si>
  <si>
    <t>Radius</t>
  </si>
  <si>
    <t>J2</t>
  </si>
  <si>
    <t>Solar Day</t>
  </si>
  <si>
    <t>Orbital Period (Sidereal )</t>
  </si>
  <si>
    <t>Magnetic Moment</t>
  </si>
  <si>
    <t>Percent of Atmosphere</t>
  </si>
  <si>
    <t>Planet - Minimum IR Emission</t>
  </si>
  <si>
    <t>Mercury</t>
  </si>
  <si>
    <t>Planet - Maximum Solar Flux</t>
  </si>
  <si>
    <t>Venus</t>
  </si>
  <si>
    <t>Planet - Albedo</t>
  </si>
  <si>
    <t>Earth</t>
  </si>
  <si>
    <t>Planet - Average Solar Flux</t>
  </si>
  <si>
    <t>Moon</t>
  </si>
  <si>
    <t>Planet - Percent of Earth's Atmosphere</t>
  </si>
  <si>
    <t>Mars</t>
  </si>
  <si>
    <t>Jupiter</t>
  </si>
  <si>
    <t>Saturn</t>
  </si>
  <si>
    <t>Uranus</t>
  </si>
  <si>
    <t>Typical Power Consumption</t>
  </si>
  <si>
    <t>Neptune</t>
  </si>
  <si>
    <t>Pluto/Charon</t>
  </si>
  <si>
    <t>Coversion Rad to Deg</t>
  </si>
  <si>
    <t>Target Body</t>
  </si>
  <si>
    <t>Semi-major Axis (AU)</t>
  </si>
  <si>
    <t>Sidereal Period (days)</t>
  </si>
  <si>
    <t>Synodic Period* (days)</t>
  </si>
  <si>
    <t>Hohmann Transfer Time (days)</t>
  </si>
  <si>
    <t>1st Opposition after 1/0/2001 (MM/DD/YYYY)</t>
  </si>
  <si>
    <t>Earth (E) to Target Body (T)</t>
  </si>
  <si>
    <t>Target Body (T) to Earth (E)</t>
  </si>
  <si>
    <t>Constants and Conversion Factors</t>
  </si>
  <si>
    <t>Departure Time relative to Opposition (days)</t>
  </si>
  <si>
    <t>Arrival Time relative to Opposition (days)</t>
  </si>
  <si>
    <t>1 day</t>
  </si>
  <si>
    <t>1 AU</t>
  </si>
  <si>
    <r>
      <t>μ</t>
    </r>
    <r>
      <rPr>
        <b/>
        <vertAlign val="subscript"/>
        <sz val="9"/>
        <rFont val="Geneva"/>
      </rPr>
      <t>Sun</t>
    </r>
  </si>
  <si>
    <r>
      <t>m</t>
    </r>
    <r>
      <rPr>
        <vertAlign val="superscript"/>
        <sz val="10"/>
        <rFont val="Geneva"/>
      </rPr>
      <t>3</t>
    </r>
    <r>
      <rPr>
        <sz val="10"/>
        <rFont val="Geneva"/>
      </rPr>
      <t>/s</t>
    </r>
    <r>
      <rPr>
        <vertAlign val="superscript"/>
        <sz val="10"/>
        <rFont val="Geneva"/>
      </rPr>
      <t>2</t>
    </r>
  </si>
  <si>
    <t>E. semi-major axis</t>
  </si>
  <si>
    <t>Earth sidereal period</t>
  </si>
  <si>
    <t xml:space="preserve">ADCS Sensor Sizing </t>
  </si>
  <si>
    <t>Vesta</t>
  </si>
  <si>
    <t>Ceres</t>
  </si>
  <si>
    <t>Pluto</t>
  </si>
  <si>
    <t>Other</t>
  </si>
  <si>
    <t xml:space="preserve">Communications - Amplifiers  </t>
  </si>
  <si>
    <t xml:space="preserve">Secondary Batteries - Depth-of-Discharge vs. Cycle Life  </t>
  </si>
  <si>
    <t xml:space="preserve">Buckling Coefficient </t>
  </si>
  <si>
    <t>Inflation Factors</t>
  </si>
  <si>
    <t xml:space="preserve">Small Satellite Cost Breakdown  </t>
  </si>
  <si>
    <t>C&amp;DH Typical SLOC</t>
  </si>
  <si>
    <t>CSC(Computer software componets)</t>
  </si>
  <si>
    <t>SLOC</t>
  </si>
  <si>
    <t>Communication</t>
  </si>
  <si>
    <t>Command Processing</t>
  </si>
  <si>
    <t>Telemetry processing</t>
  </si>
  <si>
    <t>Telemetry processing (with compression)</t>
  </si>
  <si>
    <t>AOCS (sensors)</t>
  </si>
  <si>
    <t>Rate Gyro</t>
  </si>
  <si>
    <t>Magnetormeter</t>
  </si>
  <si>
    <t>Star Tracker (no id)</t>
  </si>
  <si>
    <t xml:space="preserve">Heritage Cost Factors  </t>
  </si>
  <si>
    <t>Star tracker output quaternion</t>
  </si>
  <si>
    <t>GPS(Position/velocity)</t>
  </si>
  <si>
    <t>GPS(Pseudo Range)</t>
  </si>
  <si>
    <t>AOCS</t>
  </si>
  <si>
    <t>Kintetik integration</t>
  </si>
  <si>
    <t>Kalman Filter</t>
  </si>
  <si>
    <t>Error Determination</t>
  </si>
  <si>
    <t>Process Control</t>
  </si>
  <si>
    <t>Ephemerisis Propagator</t>
  </si>
  <si>
    <t>Complex Ephemerisis</t>
  </si>
  <si>
    <t>Orbit Propagator (Linear)</t>
  </si>
  <si>
    <t>Orbit Propagator (Complex Envirolment)</t>
  </si>
  <si>
    <t>Actuator</t>
  </si>
  <si>
    <t>Magnetic control</t>
  </si>
  <si>
    <t>Thruster Control</t>
  </si>
  <si>
    <t>Reaction wheel control</t>
  </si>
  <si>
    <t>CMG control</t>
  </si>
  <si>
    <t>FDIR</t>
  </si>
  <si>
    <t>Monitor</t>
  </si>
  <si>
    <t>Fault identification</t>
  </si>
  <si>
    <t>Fault Correction</t>
  </si>
  <si>
    <t>Utilites</t>
  </si>
  <si>
    <t>Basic Math</t>
  </si>
  <si>
    <t>Trascendental Math</t>
  </si>
  <si>
    <t>Matrix Math</t>
  </si>
  <si>
    <t>Time Mng and conversion</t>
  </si>
  <si>
    <t>Coordinate conversion</t>
  </si>
  <si>
    <t>Momentum Mng</t>
  </si>
  <si>
    <t>Power Mng</t>
  </si>
  <si>
    <t>Thermal Control</t>
  </si>
  <si>
    <t>Torques and momentum in a orbit (Integration)</t>
  </si>
  <si>
    <t>Control algorithm approximation</t>
  </si>
  <si>
    <t>Integrated angular momentum</t>
  </si>
  <si>
    <t>Momentum cyclical component</t>
  </si>
  <si>
    <t>Momentum secular component</t>
  </si>
  <si>
    <t>Max torque in a orbit</t>
  </si>
  <si>
    <t>Required pointing accuracy</t>
  </si>
  <si>
    <t>Proportional control (P)</t>
  </si>
  <si>
    <t>added control algorithm and bandwidth estimation</t>
  </si>
  <si>
    <t>added cyclic and secular momentum evaluation</t>
  </si>
  <si>
    <t>Silver Paint</t>
  </si>
  <si>
    <t>Black Paint</t>
  </si>
  <si>
    <t>Aluminium Tape</t>
  </si>
  <si>
    <t>Polished Beryllium</t>
  </si>
  <si>
    <t>Actuators Summary</t>
  </si>
  <si>
    <t>Number of reaction wheels</t>
  </si>
  <si>
    <t>Number of magnetic torquers</t>
  </si>
  <si>
    <t>Number of momentum wheels</t>
  </si>
  <si>
    <t>Number of thrusters</t>
  </si>
  <si>
    <t>Thruster Mass</t>
  </si>
  <si>
    <t>Reaction Wheel Power</t>
  </si>
  <si>
    <t>Momentum Wheel Power</t>
  </si>
  <si>
    <t>Wheel Power</t>
  </si>
  <si>
    <t>Thruster Power</t>
  </si>
  <si>
    <t>Total Mass ADCS actuators</t>
  </si>
  <si>
    <t>Total Power ADCS actuators</t>
  </si>
  <si>
    <t>added actuators summary section and manual input for masses and power</t>
  </si>
  <si>
    <t>Voltage</t>
  </si>
  <si>
    <t>Name</t>
  </si>
  <si>
    <t>Date</t>
  </si>
  <si>
    <t>File version</t>
  </si>
  <si>
    <t>Sheet Name</t>
  </si>
  <si>
    <t>Change</t>
  </si>
  <si>
    <t>Reason for Change</t>
  </si>
  <si>
    <t>Loris Franchi</t>
  </si>
  <si>
    <t>added integration of torques and momentum in a orbit</t>
  </si>
  <si>
    <t>added dynamics of torque and momentum in a orbit</t>
  </si>
  <si>
    <t>added different central bodies</t>
  </si>
  <si>
    <t xml:space="preserve">added Material Surface and its optical proprieties </t>
  </si>
  <si>
    <t>V</t>
  </si>
  <si>
    <t>[inc]</t>
  </si>
  <si>
    <r>
      <rPr>
        <b/>
        <sz val="11"/>
        <color theme="1"/>
        <rFont val="Calibri"/>
        <family val="2"/>
        <scheme val="minor"/>
      </rPr>
      <t xml:space="preserve">Mission Phases and System Modes
</t>
    </r>
    <r>
      <rPr>
        <sz val="10"/>
        <rFont val="Times New Roman"/>
        <family val="1"/>
      </rPr>
      <t>Add description here</t>
    </r>
  </si>
  <si>
    <t>Mission Phases</t>
  </si>
  <si>
    <t>Phase</t>
  </si>
  <si>
    <t>Description</t>
  </si>
  <si>
    <t>Mode</t>
  </si>
  <si>
    <t>Launch</t>
  </si>
  <si>
    <t>LEOP</t>
  </si>
  <si>
    <t>TransferToOrbit</t>
  </si>
  <si>
    <t>Science</t>
  </si>
  <si>
    <t>Disposal</t>
  </si>
  <si>
    <t>ADCS Modes</t>
  </si>
  <si>
    <t>Acquisition</t>
  </si>
  <si>
    <t>Orbit Insertion</t>
  </si>
  <si>
    <t>Nominal Mission</t>
  </si>
  <si>
    <t>Slew</t>
  </si>
  <si>
    <t>Contingency</t>
  </si>
  <si>
    <t>Special</t>
  </si>
  <si>
    <t>Thruster Miisalignment</t>
  </si>
  <si>
    <t>added thruster misalignment and operative modes</t>
  </si>
  <si>
    <t>Orbit Argument of Periapsis/Argument of Latitude</t>
  </si>
  <si>
    <t>(The button in cell H18 runs a the macro "EvaluateTorques"which will evaluate via numerical integtation:
  Transient of disturbance torques in a orbit, update cells I21 to I24 and update the graph on the right side of the calculation sheet)</t>
  </si>
  <si>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</si>
  <si>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</si>
  <si>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</si>
  <si>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</si>
  <si>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</si>
  <si>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</si>
  <si>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</si>
  <si>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</si>
  <si>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</si>
  <si>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</si>
  <si>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</si>
  <si>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</si>
  <si>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</si>
  <si>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</si>
  <si>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</si>
  <si>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</si>
  <si>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</si>
  <si>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</si>
  <si>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</si>
  <si>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</si>
  <si>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</si>
  <si>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</si>
  <si>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E</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</si>
  <si>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</si>
  <si>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</si>
  <si>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</si>
  <si>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</si>
  <si>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</si>
  <si>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</si>
  <si>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</si>
  <si>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</si>
  <si>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</si>
  <si>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</si>
  <si>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</si>
  <si>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</si>
  <si>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</si>
  <si>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</si>
  <si>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</si>
  <si>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</si>
  <si>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</si>
  <si>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</si>
  <si>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</si>
  <si>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</si>
  <si>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</si>
  <si>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</si>
  <si>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</si>
  <si>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</si>
  <si>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</si>
  <si>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</si>
  <si>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</si>
  <si>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</si>
  <si>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</si>
  <si>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</si>
  <si>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</si>
  <si>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</si>
  <si>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</si>
  <si>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</si>
  <si>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</si>
  <si>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</si>
  <si>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</si>
  <si>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</si>
  <si>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</si>
  <si>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Version 1.4</t>
  </si>
  <si>
    <t xml:space="preserve">2. Rank the parameters in order of priority and indicate if a parameter is more important (&gt;) or equally important (=) than the next one. </t>
  </si>
  <si>
    <t>Politecnico di Torino</t>
  </si>
  <si>
    <t>4. Fill in the trade-off table by assigning a score to each option for each key trade-off parameter. Use the same scale, e.g. 1 to 5</t>
  </si>
  <si>
    <t>Cost</t>
  </si>
  <si>
    <t>Equilibrium temperature</t>
  </si>
  <si>
    <t>Key trade-off parameters &amp; weight factor definition. This table is automatically produced and requires no inputs</t>
  </si>
  <si>
    <t>Key trade-off Parameter</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</si>
  <si>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</si>
  <si>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</si>
  <si>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</si>
  <si>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</si>
  <si>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</si>
  <si>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</si>
  <si>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</si>
  <si>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For constants please refere to Space mission analysis and design third edition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</si>
</sst>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0.0000E+00"/>
    <numFmt numFmtId="165" formatCode="0.0"/>
    <numFmt numFmtId="166" formatCode="0.000"/>
    <numFmt numFmtId="167" formatCode="0.0%"/>
    <numFmt numFmtId="168" formatCode="0.000E+00"/>
    <numFmt numFmtId="169" formatCode="0.0000"/>
    <numFmt numFmtId="170" formatCode="m/d/yyyy;@"/>
    <numFmt numFmtId="171" formatCode="#,##0.000"/>
  </numFmts>
  <fonts count="64">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name val="Times New Roman"/>
      <family val="1"/>
    </font>
    <font>
      <sz val="11"/>
      <color indexed="8"/>
      <name val="Calibri"/>
      <family val="2"/>
    </font>
    <font>
      <sz val="11"/>
      <color indexed="9"/>
      <name val="Calibri"/>
      <family val="2"/>
    </font>
    <font>
      <sz val="10"/>
      <name val="Times New Roman"/>
      <family val="1"/>
    </font>
    <font>
      <sz val="11"/>
      <color indexed="17"/>
      <name val="Calibri"/>
      <family val="2"/>
    </font>
    <font>
      <sz val="11"/>
      <color indexed="20"/>
      <name val="Calibri"/>
      <family val="2"/>
    </font>
    <font>
      <b/>
      <sz val="18"/>
      <color indexed="56"/>
      <name val="Cambria"/>
      <family val="1"/>
    </font>
    <font>
      <b/>
      <sz val="15"/>
      <color indexed="56"/>
      <name val="Calibri"/>
      <family val="2"/>
    </font>
    <font>
      <b/>
      <sz val="13"/>
      <color indexed="56"/>
      <name val="Calibri"/>
      <family val="2"/>
    </font>
    <font>
      <b/>
      <sz val="11"/>
      <color indexed="56"/>
      <name val="Calibri"/>
      <family val="2"/>
    </font>
    <font>
      <b/>
      <sz val="11"/>
      <color indexed="9"/>
      <name val="Calibri"/>
      <family val="2"/>
    </font>
    <font>
      <b/>
      <sz val="11"/>
      <color indexed="8"/>
      <name val="Calibri"/>
      <family val="2"/>
    </font>
    <font>
      <i/>
      <sz val="11"/>
      <color indexed="23"/>
      <name val="Calibri"/>
      <family val="2"/>
    </font>
    <font>
      <sz val="11"/>
      <color indexed="10"/>
      <name val="Calibri"/>
      <family val="2"/>
    </font>
    <font>
      <b/>
      <sz val="11"/>
      <color indexed="52"/>
      <name val="Calibri"/>
      <family val="2"/>
    </font>
    <font>
      <sz val="11"/>
      <color indexed="62"/>
      <name val="Calibri"/>
      <family val="2"/>
    </font>
    <font>
      <b/>
      <sz val="11"/>
      <color indexed="63"/>
      <name val="Calibri"/>
      <family val="2"/>
    </font>
    <font>
      <sz val="11"/>
      <color indexed="60"/>
      <name val="Calibri"/>
      <family val="2"/>
    </font>
    <font>
      <sz val="11"/>
      <color indexed="52"/>
      <name val="Calibri"/>
      <family val="2"/>
    </font>
    <font>
      <b/>
      <sz val="10"/>
      <name val="Times New Roman"/>
      <family val="1"/>
    </font>
    <font>
      <i/>
      <sz val="10"/>
      <name val="Times New Roman"/>
      <family val="1"/>
    </font>
    <font>
      <sz val="8"/>
      <name val="Times New Roman"/>
      <family val="1"/>
    </font>
    <font>
      <b/>
      <sz val="14"/>
      <name val="Times New Roman"/>
      <family val="1"/>
    </font>
    <font>
      <b/>
      <i/>
      <sz val="10"/>
      <name val="Times New Roman"/>
      <family val="1"/>
    </font>
    <font>
      <b/>
      <i/>
      <sz val="11"/>
      <name val="Times New Roman"/>
      <family val="1"/>
    </font>
    <font>
      <sz val="8"/>
      <color indexed="81"/>
      <name val="Times New Roman"/>
      <family val="1"/>
    </font>
    <font>
      <sz val="8"/>
      <color indexed="81"/>
      <name val="Tahoma"/>
      <family val="2"/>
    </font>
    <font>
      <b/>
      <sz val="11"/>
      <name val="Times New Roman"/>
      <family val="1"/>
    </font>
    <font>
      <sz val="10"/>
      <color rgb="FF538DD5"/>
      <name val="Times New Roman"/>
      <family val="1"/>
    </font>
    <font>
      <sz val="10"/>
      <color rgb="FF000000"/>
      <name val="Times New Roman"/>
      <family val="1"/>
    </font>
    <font>
      <b/>
      <sz val="10"/>
      <name val="Segoe UI"/>
      <family val="2"/>
    </font>
    <font>
      <sz val="10"/>
      <name val="Segoe UI"/>
      <family val="2"/>
    </font>
    <font>
      <i/>
      <sz val="10"/>
      <name val="Segoe UI"/>
      <family val="2"/>
    </font>
    <font>
      <i/>
      <sz val="9"/>
      <name val="Segoe UI"/>
      <family val="2"/>
    </font>
    <font>
      <sz val="10"/>
      <name val="Arial"/>
      <family val="2"/>
    </font>
    <font>
      <sz val="10"/>
      <name val="Geneva"/>
    </font>
    <font>
      <b/>
      <sz val="10"/>
      <name val="Geneva"/>
    </font>
    <font>
      <b/>
      <sz val="9"/>
      <name val="Geneva"/>
    </font>
    <font>
      <b/>
      <i/>
      <sz val="10"/>
      <name val="Geneva"/>
    </font>
    <font>
      <b/>
      <sz val="9"/>
      <name val="Georgia"/>
      <family val="1"/>
    </font>
    <font>
      <b/>
      <vertAlign val="subscript"/>
      <sz val="9"/>
      <name val="Geneva"/>
    </font>
    <font>
      <vertAlign val="superscript"/>
      <sz val="10"/>
      <name val="Geneva"/>
    </font>
    <font>
      <sz val="8"/>
      <name val="Segoe UI"/>
      <family val="2"/>
    </font>
    <font>
      <b/>
      <sz val="8"/>
      <name val="Segoe UI"/>
      <family val="2"/>
    </font>
    <font>
      <b/>
      <i/>
      <sz val="8"/>
      <name val="Segoe UI"/>
      <family val="2"/>
    </font>
    <font>
      <b/>
      <sz val="9"/>
      <color indexed="81"/>
      <name val="Tahoma"/>
      <family val="2"/>
    </font>
    <font>
      <sz val="9"/>
      <color indexed="81"/>
      <name val="Tahoma"/>
      <family val="2"/>
    </font>
    <font>
      <sz val="11"/>
      <color rgb="FF000000"/>
      <name val="Georgia"/>
      <family val="2"/>
    </font>
    <font>
      <sz val="11"/>
      <color rgb="FFFFFFFF"/>
      <name val="Georgia"/>
      <family val="2"/>
    </font>
    <font>
      <sz val="16"/>
      <name val="Times New Roman"/>
      <family val="1"/>
    </font>
    <font>
      <b/>
      <sz val="11"/>
      <color theme="1"/>
      <name val="Calibri"/>
      <family val="2"/>
      <scheme val="minor"/>
    </font>
    <font>
      <sz val="10"/>
      <color theme="1"/>
      <name val="Georgia"/>
      <family val="1"/>
    </font>
    <font>
      <sz val="12"/>
      <color theme="1"/>
      <name val="Georgia"/>
      <family val="1"/>
    </font>
    <font>
      <b/>
      <sz val="12"/>
      <color theme="1"/>
      <name val="Georgia"/>
      <family val="1"/>
    </font>
    <font>
      <sz val="11"/>
      <color indexed="8"/>
      <name val="Georgia"/>
      <family val="2"/>
    </font>
    <font>
      <sz val="11"/>
      <color indexed="9"/>
      <name val="Georgia"/>
      <family val="2"/>
    </font>
    <font>
      <b/>
      <sz val="18"/>
      <color theme="1"/>
      <name val="Calibri"/>
      <family val="2"/>
      <scheme val="minor"/>
    </font>
    <font>
      <i/>
      <sz val="11"/>
      <color theme="1"/>
      <name val="Calibri"/>
      <family val="2"/>
      <scheme val="minor"/>
    </font>
    <font>
      <b/>
      <i/>
      <sz val="11"/>
      <color theme="4" tint="-0.499984740745262"/>
      <name val="Calibri"/>
      <family val="2"/>
      <scheme val="minor"/>
    </font>
    <font>
      <b/>
      <sz val="22"/>
      <name val="Segoe UI"/>
      <family val="2"/>
    </font>
  </fonts>
  <fills count="6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26"/>
      </patternFill>
    </fill>
    <fill>
      <patternFill patternType="solid">
        <fgColor indexed="22"/>
      </patternFill>
    </fill>
    <fill>
      <patternFill patternType="solid">
        <fgColor indexed="43"/>
      </patternFill>
    </fill>
    <fill>
      <patternFill patternType="solid">
        <fgColor indexed="44"/>
        <bgColor indexed="64"/>
      </patternFill>
    </fill>
    <fill>
      <patternFill patternType="solid">
        <fgColor indexed="22"/>
        <bgColor indexed="64"/>
      </patternFill>
    </fill>
    <fill>
      <patternFill patternType="solid">
        <fgColor theme="3" tint="0.39997558519241921"/>
        <bgColor indexed="64"/>
      </patternFill>
    </fill>
    <fill>
      <patternFill patternType="solid">
        <fgColor theme="0"/>
        <bgColor indexed="64"/>
      </patternFill>
    </fill>
    <fill>
      <patternFill patternType="solid">
        <fgColor theme="5" tint="0.39997558519241921"/>
        <bgColor indexed="64"/>
      </patternFill>
    </fill>
    <fill>
      <gradientFill degree="270">
        <stop position="0">
          <color theme="4" tint="0.80001220740379042"/>
        </stop>
        <stop position="1">
          <color theme="4"/>
        </stop>
      </gradientFill>
    </fill>
    <fill>
      <patternFill patternType="solid">
        <fgColor theme="5" tint="0.79998168889431442"/>
        <bgColor indexed="64"/>
      </patternFill>
    </fill>
    <fill>
      <patternFill patternType="solid">
        <fgColor theme="4" tint="0.79998168889431442"/>
        <bgColor indexed="64"/>
      </patternFill>
    </fill>
    <fill>
      <gradientFill degree="270">
        <stop position="0">
          <color theme="8" tint="0.80001220740379042"/>
        </stop>
        <stop position="1">
          <color theme="8" tint="-0.25098422193060094"/>
        </stop>
      </gradient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gradientFill degree="270">
        <stop position="0">
          <color theme="7" tint="0.80001220740379042"/>
        </stop>
        <stop position="1">
          <color theme="7" tint="-0.25098422193060094"/>
        </stop>
      </gradientFill>
    </fill>
    <fill>
      <gradientFill degree="270">
        <stop position="0">
          <color theme="6" tint="0.80001220740379042"/>
        </stop>
        <stop position="1">
          <color theme="6" tint="-0.25098422193060094"/>
        </stop>
      </gradientFill>
    </fill>
    <fill>
      <gradientFill degree="270">
        <stop position="0">
          <color theme="5" tint="0.80001220740379042"/>
        </stop>
        <stop position="1">
          <color theme="5" tint="-0.25098422193060094"/>
        </stop>
      </gradientFill>
    </fill>
    <fill>
      <gradientFill degree="270">
        <stop position="0">
          <color theme="0" tint="-5.0965910824915313E-2"/>
        </stop>
        <stop position="1">
          <color theme="0" tint="-0.49803155613879818"/>
        </stop>
      </gradientFill>
    </fill>
    <fill>
      <patternFill patternType="solid">
        <fgColor theme="0" tint="-4.9989318521683403E-2"/>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rgb="FFFFFFCC"/>
        <bgColor indexed="64"/>
      </patternFill>
    </fill>
    <fill>
      <patternFill patternType="solid">
        <fgColor rgb="FFFFFF66"/>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538DD5"/>
        <bgColor indexed="64"/>
      </patternFill>
    </fill>
    <fill>
      <patternFill patternType="solid">
        <fgColor rgb="FF00B0F0"/>
        <bgColor indexed="64"/>
      </patternFill>
    </fill>
    <fill>
      <patternFill patternType="solid">
        <fgColor rgb="FF95B3D7"/>
        <bgColor indexed="64"/>
      </patternFill>
    </fill>
    <fill>
      <patternFill patternType="solid">
        <fgColor rgb="FFDCE6F1"/>
        <bgColor indexed="64"/>
      </patternFill>
    </fill>
    <fill>
      <patternFill patternType="solid">
        <fgColor rgb="FF002664"/>
      </patternFill>
    </fill>
    <fill>
      <patternFill patternType="solid">
        <fgColor rgb="FF0D4A81"/>
        <bgColor indexed="64"/>
      </patternFill>
    </fill>
    <fill>
      <patternFill patternType="solid">
        <fgColor rgb="FFAACAEA"/>
      </patternFill>
    </fill>
    <fill>
      <patternFill patternType="solid">
        <fgColor rgb="FF0098DB"/>
      </patternFill>
    </fill>
    <fill>
      <patternFill patternType="solid">
        <fgColor theme="3" tint="0.59999389629810485"/>
        <bgColor indexed="64"/>
      </patternFill>
    </fill>
    <fill>
      <patternFill patternType="solid">
        <fgColor theme="3" tint="0.79998168889431442"/>
        <bgColor indexed="64"/>
      </patternFill>
    </fill>
    <fill>
      <patternFill patternType="solid">
        <fgColor indexed="6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s>
  <borders count="121">
    <border>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ck">
        <color theme="4" tint="-0.249977111117893"/>
      </left>
      <right/>
      <top style="thick">
        <color theme="4" tint="-0.249977111117893"/>
      </top>
      <bottom/>
      <diagonal/>
    </border>
    <border>
      <left/>
      <right/>
      <top style="thick">
        <color theme="4" tint="-0.249977111117893"/>
      </top>
      <bottom/>
      <diagonal/>
    </border>
    <border>
      <left/>
      <right style="thick">
        <color theme="4" tint="-0.249977111117893"/>
      </right>
      <top style="thick">
        <color theme="4" tint="-0.249977111117893"/>
      </top>
      <bottom/>
      <diagonal/>
    </border>
    <border>
      <left style="thick">
        <color theme="4" tint="-0.249977111117893"/>
      </left>
      <right/>
      <top/>
      <bottom/>
      <diagonal/>
    </border>
    <border>
      <left/>
      <right style="thick">
        <color theme="4" tint="-0.249977111117893"/>
      </right>
      <top/>
      <bottom/>
      <diagonal/>
    </border>
    <border>
      <left style="thick">
        <color theme="4" tint="-0.249977111117893"/>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
      <left style="thick">
        <color theme="8" tint="-0.249977111117893"/>
      </left>
      <right/>
      <top style="thick">
        <color theme="8" tint="-0.249977111117893"/>
      </top>
      <bottom/>
      <diagonal/>
    </border>
    <border>
      <left/>
      <right/>
      <top style="thick">
        <color theme="8" tint="-0.249977111117893"/>
      </top>
      <bottom/>
      <diagonal/>
    </border>
    <border>
      <left/>
      <right style="thick">
        <color theme="8" tint="-0.249977111117893"/>
      </right>
      <top style="thick">
        <color theme="8" tint="-0.249977111117893"/>
      </top>
      <bottom/>
      <diagonal/>
    </border>
    <border>
      <left style="thick">
        <color theme="8" tint="-0.249977111117893"/>
      </left>
      <right/>
      <top/>
      <bottom/>
      <diagonal/>
    </border>
    <border>
      <left/>
      <right style="thick">
        <color theme="8" tint="-0.249977111117893"/>
      </right>
      <top/>
      <bottom/>
      <diagonal/>
    </border>
    <border>
      <left style="thick">
        <color theme="8" tint="-0.249977111117893"/>
      </left>
      <right/>
      <top/>
      <bottom style="thick">
        <color theme="8" tint="-0.249977111117893"/>
      </bottom>
      <diagonal/>
    </border>
    <border>
      <left/>
      <right/>
      <top/>
      <bottom style="thick">
        <color theme="8" tint="-0.249977111117893"/>
      </bottom>
      <diagonal/>
    </border>
    <border>
      <left/>
      <right style="thick">
        <color theme="8" tint="-0.249977111117893"/>
      </right>
      <top/>
      <bottom style="thick">
        <color theme="8" tint="-0.249977111117893"/>
      </bottom>
      <diagonal/>
    </border>
    <border>
      <left style="thick">
        <color theme="7" tint="-0.249977111117893"/>
      </left>
      <right/>
      <top style="thick">
        <color theme="7" tint="-0.249977111117893"/>
      </top>
      <bottom/>
      <diagonal/>
    </border>
    <border>
      <left/>
      <right/>
      <top style="thick">
        <color theme="7" tint="-0.249977111117893"/>
      </top>
      <bottom/>
      <diagonal/>
    </border>
    <border>
      <left/>
      <right style="thick">
        <color theme="7" tint="-0.249977111117893"/>
      </right>
      <top style="thick">
        <color theme="7" tint="-0.249977111117893"/>
      </top>
      <bottom/>
      <diagonal/>
    </border>
    <border>
      <left style="thick">
        <color theme="7" tint="-0.249977111117893"/>
      </left>
      <right/>
      <top/>
      <bottom/>
      <diagonal/>
    </border>
    <border>
      <left/>
      <right style="thick">
        <color theme="7" tint="-0.249977111117893"/>
      </right>
      <top/>
      <bottom/>
      <diagonal/>
    </border>
    <border>
      <left style="thick">
        <color theme="7" tint="-0.249977111117893"/>
      </left>
      <right/>
      <top/>
      <bottom style="thick">
        <color theme="7" tint="-0.249977111117893"/>
      </bottom>
      <diagonal/>
    </border>
    <border>
      <left/>
      <right/>
      <top/>
      <bottom style="thick">
        <color theme="7" tint="-0.249977111117893"/>
      </bottom>
      <diagonal/>
    </border>
    <border>
      <left/>
      <right style="thick">
        <color theme="7" tint="-0.249977111117893"/>
      </right>
      <top/>
      <bottom style="thick">
        <color theme="7" tint="-0.249977111117893"/>
      </bottom>
      <diagonal/>
    </border>
    <border>
      <left style="thick">
        <color theme="6" tint="-0.499984740745262"/>
      </left>
      <right/>
      <top style="thick">
        <color theme="6" tint="-0.499984740745262"/>
      </top>
      <bottom/>
      <diagonal/>
    </border>
    <border>
      <left/>
      <right/>
      <top style="thick">
        <color theme="6" tint="-0.499984740745262"/>
      </top>
      <bottom/>
      <diagonal/>
    </border>
    <border>
      <left/>
      <right style="thick">
        <color theme="6" tint="-0.499984740745262"/>
      </right>
      <top style="thick">
        <color theme="6" tint="-0.499984740745262"/>
      </top>
      <bottom/>
      <diagonal/>
    </border>
    <border>
      <left style="thick">
        <color theme="6" tint="-0.499984740745262"/>
      </left>
      <right/>
      <top/>
      <bottom/>
      <diagonal/>
    </border>
    <border>
      <left/>
      <right style="thick">
        <color theme="6" tint="-0.499984740745262"/>
      </right>
      <top/>
      <bottom/>
      <diagonal/>
    </border>
    <border>
      <left style="thick">
        <color theme="6" tint="-0.499984740745262"/>
      </left>
      <right/>
      <top/>
      <bottom style="thick">
        <color theme="6" tint="-0.499984740745262"/>
      </bottom>
      <diagonal/>
    </border>
    <border>
      <left/>
      <right/>
      <top/>
      <bottom style="thick">
        <color theme="6" tint="-0.499984740745262"/>
      </bottom>
      <diagonal/>
    </border>
    <border>
      <left/>
      <right style="thick">
        <color theme="6" tint="-0.499984740745262"/>
      </right>
      <top/>
      <bottom style="thick">
        <color theme="6" tint="-0.499984740745262"/>
      </bottom>
      <diagonal/>
    </border>
    <border>
      <left style="thick">
        <color theme="8" tint="-0.499984740745262"/>
      </left>
      <right/>
      <top style="thick">
        <color theme="8" tint="-0.499984740745262"/>
      </top>
      <bottom/>
      <diagonal/>
    </border>
    <border>
      <left/>
      <right/>
      <top style="thick">
        <color theme="8" tint="-0.499984740745262"/>
      </top>
      <bottom/>
      <diagonal/>
    </border>
    <border>
      <left/>
      <right style="thick">
        <color theme="8" tint="-0.499984740745262"/>
      </right>
      <top style="thick">
        <color theme="8" tint="-0.499984740745262"/>
      </top>
      <bottom/>
      <diagonal/>
    </border>
    <border>
      <left style="thick">
        <color theme="8" tint="-0.499984740745262"/>
      </left>
      <right/>
      <top/>
      <bottom/>
      <diagonal/>
    </border>
    <border>
      <left/>
      <right style="thick">
        <color theme="8" tint="-0.499984740745262"/>
      </right>
      <top/>
      <bottom/>
      <diagonal/>
    </border>
    <border>
      <left style="thick">
        <color theme="8" tint="-0.499984740745262"/>
      </left>
      <right/>
      <top/>
      <bottom style="thick">
        <color theme="8" tint="-0.499984740745262"/>
      </bottom>
      <diagonal/>
    </border>
    <border>
      <left/>
      <right/>
      <top/>
      <bottom style="thick">
        <color theme="8" tint="-0.499984740745262"/>
      </bottom>
      <diagonal/>
    </border>
    <border>
      <left/>
      <right style="thick">
        <color theme="8" tint="-0.499984740745262"/>
      </right>
      <top/>
      <bottom style="thick">
        <color theme="8" tint="-0.499984740745262"/>
      </bottom>
      <diagonal/>
    </border>
    <border>
      <left style="thick">
        <color theme="5" tint="-0.249977111117893"/>
      </left>
      <right/>
      <top style="thick">
        <color theme="5" tint="-0.249977111117893"/>
      </top>
      <bottom/>
      <diagonal/>
    </border>
    <border>
      <left/>
      <right/>
      <top style="thick">
        <color theme="5" tint="-0.249977111117893"/>
      </top>
      <bottom/>
      <diagonal/>
    </border>
    <border>
      <left/>
      <right style="thick">
        <color theme="5" tint="-0.249977111117893"/>
      </right>
      <top style="thick">
        <color theme="5" tint="-0.249977111117893"/>
      </top>
      <bottom/>
      <diagonal/>
    </border>
    <border>
      <left style="thick">
        <color theme="5" tint="-0.249977111117893"/>
      </left>
      <right/>
      <top/>
      <bottom/>
      <diagonal/>
    </border>
    <border>
      <left/>
      <right style="thick">
        <color theme="5" tint="-0.249977111117893"/>
      </right>
      <top/>
      <bottom/>
      <diagonal/>
    </border>
    <border>
      <left style="thick">
        <color theme="5" tint="-0.249977111117893"/>
      </left>
      <right/>
      <top/>
      <bottom style="thick">
        <color theme="5" tint="-0.249977111117893"/>
      </bottom>
      <diagonal/>
    </border>
    <border>
      <left/>
      <right/>
      <top/>
      <bottom style="thick">
        <color theme="5" tint="-0.249977111117893"/>
      </bottom>
      <diagonal/>
    </border>
    <border>
      <left/>
      <right style="thick">
        <color theme="5" tint="-0.249977111117893"/>
      </right>
      <top/>
      <bottom style="thick">
        <color theme="5" tint="-0.249977111117893"/>
      </bottom>
      <diagonal/>
    </border>
    <border>
      <left style="thick">
        <color theme="0" tint="-0.499984740745262"/>
      </left>
      <right/>
      <top style="thick">
        <color theme="0" tint="-0.499984740745262"/>
      </top>
      <bottom/>
      <diagonal/>
    </border>
    <border>
      <left/>
      <right/>
      <top style="thick">
        <color theme="0" tint="-0.499984740745262"/>
      </top>
      <bottom/>
      <diagonal/>
    </border>
    <border>
      <left/>
      <right style="thick">
        <color theme="0" tint="-0.499984740745262"/>
      </right>
      <top style="thick">
        <color theme="0" tint="-0.499984740745262"/>
      </top>
      <bottom/>
      <diagonal/>
    </border>
    <border>
      <left style="thick">
        <color theme="0" tint="-0.499984740745262"/>
      </left>
      <right/>
      <top/>
      <bottom/>
      <diagonal/>
    </border>
    <border>
      <left/>
      <right style="thick">
        <color theme="0" tint="-0.499984740745262"/>
      </right>
      <top/>
      <bottom/>
      <diagonal/>
    </border>
    <border>
      <left style="thick">
        <color theme="0" tint="-0.499984740745262"/>
      </left>
      <right/>
      <top/>
      <bottom style="thick">
        <color theme="0" tint="-0.499984740745262"/>
      </bottom>
      <diagonal/>
    </border>
    <border>
      <left/>
      <right/>
      <top/>
      <bottom style="thick">
        <color theme="0" tint="-0.499984740745262"/>
      </bottom>
      <diagonal/>
    </border>
    <border>
      <left/>
      <right style="thick">
        <color theme="0" tint="-0.499984740745262"/>
      </right>
      <top/>
      <bottom style="thick">
        <color theme="0" tint="-0.499984740745262"/>
      </bottom>
      <diagonal/>
    </border>
    <border>
      <left style="thin">
        <color indexed="64"/>
      </left>
      <right style="thin">
        <color indexed="64"/>
      </right>
      <top style="thin">
        <color indexed="64"/>
      </top>
      <bottom style="thick">
        <color theme="4" tint="-0.249977111117893"/>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style="thick">
        <color auto="1"/>
      </top>
      <bottom/>
      <diagonal/>
    </border>
    <border>
      <left/>
      <right style="thick">
        <color auto="1"/>
      </right>
      <top style="thick">
        <color auto="1"/>
      </top>
      <bottom/>
      <diagonal/>
    </border>
    <border>
      <left/>
      <right style="thick">
        <color auto="1"/>
      </right>
      <top/>
      <bottom/>
      <diagonal/>
    </border>
    <border>
      <left/>
      <right/>
      <top/>
      <bottom style="thick">
        <color auto="1"/>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s>
  <cellStyleXfs count="90">
    <xf numFmtId="0" fontId="0"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9" fontId="4" fillId="0" borderId="0" applyFont="0" applyFill="0" applyBorder="0" applyAlignment="0" applyProtection="0"/>
    <xf numFmtId="0" fontId="8" fillId="4" borderId="0" applyNumberFormat="0" applyBorder="0" applyAlignment="0" applyProtection="0"/>
    <xf numFmtId="0" fontId="9" fillId="3"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10" fillId="0" borderId="0" applyNumberFormat="0" applyFill="0" applyBorder="0" applyAlignment="0" applyProtection="0"/>
    <xf numFmtId="0" fontId="11" fillId="0" borderId="1" applyNumberFormat="0" applyFill="0" applyAlignment="0" applyProtection="0"/>
    <xf numFmtId="0" fontId="12" fillId="0" borderId="2" applyNumberFormat="0" applyFill="0" applyAlignment="0" applyProtection="0"/>
    <xf numFmtId="0" fontId="13" fillId="0" borderId="3" applyNumberFormat="0" applyFill="0" applyAlignment="0" applyProtection="0"/>
    <xf numFmtId="0" fontId="13" fillId="0" borderId="0" applyNumberFormat="0" applyFill="0" applyBorder="0" applyAlignment="0" applyProtection="0"/>
    <xf numFmtId="0" fontId="14" fillId="20" borderId="4" applyNumberFormat="0" applyAlignment="0" applyProtection="0"/>
    <xf numFmtId="0" fontId="15" fillId="0" borderId="5" applyNumberFormat="0" applyFill="0" applyAlignment="0" applyProtection="0"/>
    <xf numFmtId="0" fontId="7" fillId="21" borderId="6" applyNumberFormat="0" applyFon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22" borderId="7" applyNumberFormat="0" applyAlignment="0" applyProtection="0"/>
    <xf numFmtId="0" fontId="19" fillId="7" borderId="7" applyNumberFormat="0" applyAlignment="0" applyProtection="0"/>
    <xf numFmtId="0" fontId="20" fillId="22" borderId="8" applyNumberFormat="0" applyAlignment="0" applyProtection="0"/>
    <xf numFmtId="0" fontId="21" fillId="23" borderId="0" applyNumberFormat="0" applyBorder="0" applyAlignment="0" applyProtection="0"/>
    <xf numFmtId="0" fontId="22" fillId="0" borderId="9" applyNumberFormat="0" applyFill="0" applyAlignment="0" applyProtection="0"/>
    <xf numFmtId="0" fontId="38" fillId="0" borderId="0"/>
    <xf numFmtId="0" fontId="51" fillId="0" borderId="0" applyProtection="0"/>
    <xf numFmtId="0" fontId="52" fillId="54" borderId="0" applyNumberFormat="0" applyBorder="0" applyAlignment="0" applyProtection="0"/>
    <xf numFmtId="0" fontId="52" fillId="55" borderId="0" applyNumberFormat="0" applyBorder="0" applyAlignment="0" applyProtection="0"/>
    <xf numFmtId="0" fontId="52" fillId="56" borderId="0" applyNumberFormat="0" applyBorder="0" applyAlignment="0" applyProtection="0"/>
    <xf numFmtId="0" fontId="52" fillId="57" borderId="0" applyNumberFormat="0" applyBorder="0" applyAlignment="0" applyProtection="0"/>
    <xf numFmtId="0" fontId="3" fillId="0" borderId="0"/>
    <xf numFmtId="0" fontId="58" fillId="0" borderId="0" applyProtection="0"/>
    <xf numFmtId="0" fontId="58" fillId="0" borderId="0" applyProtection="0"/>
    <xf numFmtId="0" fontId="51" fillId="0" borderId="0" applyProtection="0"/>
    <xf numFmtId="0" fontId="7" fillId="0" borderId="0"/>
    <xf numFmtId="0" fontId="2" fillId="0" borderId="0"/>
    <xf numFmtId="0" fontId="9" fillId="3" borderId="0" applyNumberFormat="0" applyBorder="0" applyAlignment="0" applyProtection="0"/>
    <xf numFmtId="0" fontId="21" fillId="23" borderId="0" applyNumberFormat="0" applyBorder="0" applyAlignment="0" applyProtection="0"/>
    <xf numFmtId="0" fontId="11" fillId="0" borderId="1" applyNumberFormat="0" applyFill="0" applyAlignment="0" applyProtection="0"/>
    <xf numFmtId="0" fontId="12" fillId="0" borderId="2" applyNumberFormat="0" applyFill="0" applyAlignment="0" applyProtection="0"/>
    <xf numFmtId="0" fontId="13" fillId="0" borderId="3" applyNumberFormat="0" applyFill="0" applyAlignment="0" applyProtection="0"/>
    <xf numFmtId="0" fontId="13" fillId="0" borderId="0" applyNumberFormat="0" applyFill="0" applyBorder="0" applyAlignment="0" applyProtection="0"/>
    <xf numFmtId="0" fontId="17" fillId="0" borderId="0" applyNumberFormat="0" applyFill="0" applyBorder="0" applyAlignment="0" applyProtection="0"/>
    <xf numFmtId="0" fontId="22" fillId="0" borderId="9" applyNumberFormat="0" applyFill="0" applyAlignment="0" applyProtection="0"/>
    <xf numFmtId="0" fontId="6" fillId="16" borderId="0" applyNumberFormat="0" applyBorder="0" applyAlignment="0" applyProtection="0"/>
    <xf numFmtId="0" fontId="6" fillId="17" borderId="0" applyNumberFormat="0" applyBorder="0" applyAlignment="0" applyProtection="0"/>
    <xf numFmtId="0" fontId="6" fillId="18"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9" borderId="0" applyNumberFormat="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5" borderId="0" applyNumberFormat="0" applyBorder="0" applyAlignment="0" applyProtection="0"/>
    <xf numFmtId="0" fontId="5" fillId="8" borderId="0" applyNumberFormat="0" applyBorder="0" applyAlignment="0" applyProtection="0"/>
    <xf numFmtId="0" fontId="5"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58" fillId="0" borderId="0" applyProtection="0"/>
    <xf numFmtId="0" fontId="5" fillId="0" borderId="0"/>
    <xf numFmtId="0" fontId="1" fillId="0" borderId="0"/>
  </cellStyleXfs>
  <cellXfs count="527">
    <xf numFmtId="0" fontId="0" fillId="0" borderId="0" xfId="0"/>
    <xf numFmtId="0" fontId="7" fillId="0" borderId="0" xfId="0" applyFont="1"/>
    <xf numFmtId="0" fontId="0" fillId="25" borderId="0" xfId="0" applyFill="1"/>
    <xf numFmtId="0" fontId="7" fillId="26" borderId="0" xfId="0" applyFont="1" applyFill="1"/>
    <xf numFmtId="0" fontId="7" fillId="26" borderId="0" xfId="0" applyFont="1" applyFill="1" applyAlignment="1">
      <alignment vertical="center"/>
    </xf>
    <xf numFmtId="0" fontId="23" fillId="26" borderId="0" xfId="0" applyFont="1" applyFill="1"/>
    <xf numFmtId="0" fontId="23" fillId="26" borderId="0" xfId="0" applyFont="1" applyFill="1" applyAlignment="1">
      <alignment horizontal="center"/>
    </xf>
    <xf numFmtId="0" fontId="26" fillId="27" borderId="0" xfId="0" applyFont="1" applyFill="1" applyAlignment="1">
      <alignment horizontal="centerContinuous"/>
    </xf>
    <xf numFmtId="0" fontId="7" fillId="27" borderId="0" xfId="0" applyFont="1" applyFill="1" applyAlignment="1">
      <alignment horizontal="centerContinuous"/>
    </xf>
    <xf numFmtId="0" fontId="23" fillId="27" borderId="0" xfId="0" applyFont="1" applyFill="1" applyAlignment="1">
      <alignment horizontal="centerContinuous"/>
    </xf>
    <xf numFmtId="0" fontId="7" fillId="27" borderId="0" xfId="0" applyFont="1" applyFill="1"/>
    <xf numFmtId="0" fontId="23" fillId="27" borderId="0" xfId="0" applyFont="1" applyFill="1" applyAlignment="1">
      <alignment horizontal="center"/>
    </xf>
    <xf numFmtId="0" fontId="27" fillId="26" borderId="0" xfId="0" applyFont="1" applyFill="1"/>
    <xf numFmtId="0" fontId="27" fillId="27" borderId="0" xfId="0" applyFont="1" applyFill="1" applyAlignment="1">
      <alignment horizontal="centerContinuous"/>
    </xf>
    <xf numFmtId="0" fontId="7" fillId="27" borderId="0" xfId="0" applyFont="1" applyFill="1" applyAlignment="1">
      <alignment horizontal="left"/>
    </xf>
    <xf numFmtId="0" fontId="27" fillId="31" borderId="14" xfId="0" applyFont="1" applyFill="1" applyBorder="1"/>
    <xf numFmtId="166" fontId="23" fillId="31" borderId="0" xfId="0" applyNumberFormat="1" applyFont="1" applyFill="1"/>
    <xf numFmtId="0" fontId="23" fillId="31" borderId="15" xfId="0" applyFont="1" applyFill="1" applyBorder="1" applyAlignment="1">
      <alignment horizontal="center"/>
    </xf>
    <xf numFmtId="168" fontId="23" fillId="31" borderId="0" xfId="0" applyNumberFormat="1" applyFont="1" applyFill="1"/>
    <xf numFmtId="2" fontId="23" fillId="31" borderId="0" xfId="0" applyNumberFormat="1" applyFont="1" applyFill="1"/>
    <xf numFmtId="0" fontId="23" fillId="31" borderId="18" xfId="0" applyFont="1" applyFill="1" applyBorder="1" applyAlignment="1">
      <alignment horizontal="center"/>
    </xf>
    <xf numFmtId="0" fontId="0" fillId="35" borderId="0" xfId="0" applyFill="1"/>
    <xf numFmtId="0" fontId="27" fillId="35" borderId="22" xfId="0" applyFont="1" applyFill="1" applyBorder="1"/>
    <xf numFmtId="0" fontId="23" fillId="35" borderId="23" xfId="0" applyFont="1" applyFill="1" applyBorder="1" applyAlignment="1">
      <alignment horizontal="center"/>
    </xf>
    <xf numFmtId="166" fontId="23" fillId="35" borderId="0" xfId="0" applyNumberFormat="1" applyFont="1" applyFill="1"/>
    <xf numFmtId="2" fontId="23" fillId="35" borderId="0" xfId="0" applyNumberFormat="1" applyFont="1" applyFill="1"/>
    <xf numFmtId="0" fontId="0" fillId="35" borderId="22" xfId="0" applyFill="1" applyBorder="1"/>
    <xf numFmtId="0" fontId="23" fillId="26" borderId="0" xfId="0" applyFont="1" applyFill="1" applyAlignment="1">
      <alignment horizontal="center" vertical="center"/>
    </xf>
    <xf numFmtId="0" fontId="27" fillId="34" borderId="30" xfId="0" applyFont="1" applyFill="1" applyBorder="1"/>
    <xf numFmtId="0" fontId="23" fillId="34" borderId="31" xfId="0" applyFont="1" applyFill="1" applyBorder="1" applyAlignment="1">
      <alignment horizontal="center"/>
    </xf>
    <xf numFmtId="2" fontId="23" fillId="34" borderId="0" xfId="0" applyNumberFormat="1" applyFont="1" applyFill="1"/>
    <xf numFmtId="168" fontId="23" fillId="33" borderId="0" xfId="0" applyNumberFormat="1" applyFont="1" applyFill="1"/>
    <xf numFmtId="0" fontId="27" fillId="33" borderId="38" xfId="0" applyFont="1" applyFill="1" applyBorder="1"/>
    <xf numFmtId="0" fontId="23" fillId="33" borderId="39" xfId="0" applyFont="1" applyFill="1" applyBorder="1" applyAlignment="1">
      <alignment horizontal="center"/>
    </xf>
    <xf numFmtId="0" fontId="27" fillId="33" borderId="40" xfId="0" applyFont="1" applyFill="1" applyBorder="1"/>
    <xf numFmtId="0" fontId="27" fillId="27" borderId="0" xfId="0" applyFont="1" applyFill="1"/>
    <xf numFmtId="0" fontId="23" fillId="27" borderId="0" xfId="0" applyFont="1" applyFill="1" applyAlignment="1">
      <alignment horizontal="center" vertical="center"/>
    </xf>
    <xf numFmtId="11" fontId="23" fillId="31" borderId="0" xfId="0" applyNumberFormat="1" applyFont="1" applyFill="1"/>
    <xf numFmtId="0" fontId="23" fillId="31" borderId="0" xfId="0" applyFont="1" applyFill="1" applyAlignment="1">
      <alignment horizontal="center"/>
    </xf>
    <xf numFmtId="165" fontId="23" fillId="31" borderId="0" xfId="0" applyNumberFormat="1" applyFont="1" applyFill="1"/>
    <xf numFmtId="166" fontId="24" fillId="31" borderId="17" xfId="0" applyNumberFormat="1" applyFont="1" applyFill="1" applyBorder="1" applyProtection="1">
      <protection locked="0"/>
    </xf>
    <xf numFmtId="166" fontId="23" fillId="31" borderId="17" xfId="0" applyNumberFormat="1" applyFont="1" applyFill="1" applyBorder="1"/>
    <xf numFmtId="0" fontId="23" fillId="31" borderId="17" xfId="0" applyFont="1" applyFill="1" applyBorder="1" applyAlignment="1">
      <alignment horizontal="center"/>
    </xf>
    <xf numFmtId="165" fontId="24" fillId="31" borderId="17" xfId="0" applyNumberFormat="1" applyFont="1" applyFill="1" applyBorder="1" applyProtection="1">
      <protection locked="0"/>
    </xf>
    <xf numFmtId="165" fontId="23" fillId="31" borderId="17" xfId="0" applyNumberFormat="1" applyFont="1" applyFill="1" applyBorder="1"/>
    <xf numFmtId="0" fontId="23" fillId="35" borderId="0" xfId="0" applyFont="1" applyFill="1" applyAlignment="1">
      <alignment horizontal="center" vertical="center"/>
    </xf>
    <xf numFmtId="0" fontId="23" fillId="35" borderId="47" xfId="0" applyFont="1" applyFill="1" applyBorder="1" applyAlignment="1">
      <alignment horizontal="center" vertical="center"/>
    </xf>
    <xf numFmtId="11" fontId="23" fillId="35" borderId="0" xfId="0" applyNumberFormat="1" applyFont="1" applyFill="1"/>
    <xf numFmtId="0" fontId="23" fillId="35" borderId="0" xfId="0" applyFont="1" applyFill="1" applyAlignment="1">
      <alignment horizontal="center"/>
    </xf>
    <xf numFmtId="0" fontId="23" fillId="35" borderId="47" xfId="0" applyFont="1" applyFill="1" applyBorder="1" applyAlignment="1">
      <alignment horizontal="center"/>
    </xf>
    <xf numFmtId="165" fontId="23" fillId="35" borderId="0" xfId="0" applyNumberFormat="1" applyFont="1" applyFill="1"/>
    <xf numFmtId="0" fontId="27" fillId="35" borderId="46" xfId="0" applyFont="1" applyFill="1" applyBorder="1" applyAlignment="1">
      <alignment vertical="center"/>
    </xf>
    <xf numFmtId="165" fontId="24" fillId="35" borderId="49" xfId="0" applyNumberFormat="1" applyFont="1" applyFill="1" applyBorder="1" applyProtection="1">
      <protection locked="0"/>
    </xf>
    <xf numFmtId="165" fontId="23" fillId="35" borderId="49" xfId="0" applyNumberFormat="1" applyFont="1" applyFill="1" applyBorder="1"/>
    <xf numFmtId="0" fontId="23" fillId="35" borderId="49" xfId="0" applyFont="1" applyFill="1" applyBorder="1" applyAlignment="1">
      <alignment horizontal="center"/>
    </xf>
    <xf numFmtId="0" fontId="23" fillId="35" borderId="50" xfId="0" applyFont="1" applyFill="1" applyBorder="1" applyAlignment="1">
      <alignment horizontal="center"/>
    </xf>
    <xf numFmtId="0" fontId="27" fillId="34" borderId="30" xfId="0" applyFont="1" applyFill="1" applyBorder="1" applyAlignment="1">
      <alignment vertical="center"/>
    </xf>
    <xf numFmtId="0" fontId="23" fillId="34" borderId="0" xfId="0" applyFont="1" applyFill="1" applyAlignment="1">
      <alignment horizontal="center" vertical="center"/>
    </xf>
    <xf numFmtId="0" fontId="23" fillId="34" borderId="31" xfId="0" applyFont="1" applyFill="1" applyBorder="1" applyAlignment="1">
      <alignment horizontal="center" vertical="center"/>
    </xf>
    <xf numFmtId="11" fontId="23" fillId="34" borderId="0" xfId="0" applyNumberFormat="1" applyFont="1" applyFill="1"/>
    <xf numFmtId="0" fontId="23" fillId="34" borderId="0" xfId="0" applyFont="1" applyFill="1" applyAlignment="1">
      <alignment horizontal="center"/>
    </xf>
    <xf numFmtId="166" fontId="23" fillId="34" borderId="0" xfId="0" applyNumberFormat="1" applyFont="1" applyFill="1"/>
    <xf numFmtId="165" fontId="23" fillId="34" borderId="0" xfId="0" applyNumberFormat="1" applyFont="1" applyFill="1"/>
    <xf numFmtId="9" fontId="23" fillId="34" borderId="0" xfId="19" applyFont="1" applyFill="1"/>
    <xf numFmtId="0" fontId="23" fillId="34" borderId="33" xfId="0" applyFont="1" applyFill="1" applyBorder="1" applyAlignment="1">
      <alignment horizontal="center"/>
    </xf>
    <xf numFmtId="165" fontId="24" fillId="34" borderId="33" xfId="0" applyNumberFormat="1" applyFont="1" applyFill="1" applyBorder="1" applyProtection="1">
      <protection locked="0"/>
    </xf>
    <xf numFmtId="165" fontId="23" fillId="34" borderId="33" xfId="0" applyNumberFormat="1" applyFont="1" applyFill="1" applyBorder="1"/>
    <xf numFmtId="0" fontId="23" fillId="34" borderId="34" xfId="0" applyFont="1" applyFill="1" applyBorder="1" applyAlignment="1">
      <alignment horizontal="center"/>
    </xf>
    <xf numFmtId="0" fontId="23" fillId="33" borderId="0" xfId="0" applyFont="1" applyFill="1"/>
    <xf numFmtId="0" fontId="27" fillId="33" borderId="38" xfId="0" applyFont="1" applyFill="1" applyBorder="1" applyAlignment="1">
      <alignment vertical="center"/>
    </xf>
    <xf numFmtId="2" fontId="23" fillId="33" borderId="0" xfId="0" applyNumberFormat="1" applyFont="1" applyFill="1"/>
    <xf numFmtId="0" fontId="23" fillId="33" borderId="0" xfId="0" applyFont="1" applyFill="1" applyAlignment="1">
      <alignment horizontal="center"/>
    </xf>
    <xf numFmtId="0" fontId="24" fillId="33" borderId="0" xfId="0" applyFont="1" applyFill="1"/>
    <xf numFmtId="0" fontId="24" fillId="33" borderId="38" xfId="0" applyFont="1" applyFill="1" applyBorder="1"/>
    <xf numFmtId="165" fontId="23" fillId="33" borderId="0" xfId="0" applyNumberFormat="1" applyFont="1" applyFill="1"/>
    <xf numFmtId="166" fontId="23" fillId="33" borderId="0" xfId="0" applyNumberFormat="1" applyFont="1" applyFill="1"/>
    <xf numFmtId="167" fontId="23" fillId="33" borderId="0" xfId="19" applyNumberFormat="1" applyFont="1" applyFill="1"/>
    <xf numFmtId="1" fontId="23" fillId="33" borderId="0" xfId="0" applyNumberFormat="1" applyFont="1" applyFill="1"/>
    <xf numFmtId="166" fontId="23" fillId="33" borderId="41" xfId="0" applyNumberFormat="1" applyFont="1" applyFill="1" applyBorder="1"/>
    <xf numFmtId="0" fontId="23" fillId="33" borderId="41" xfId="0" applyFont="1" applyFill="1" applyBorder="1" applyAlignment="1">
      <alignment horizontal="center"/>
    </xf>
    <xf numFmtId="165" fontId="23" fillId="33" borderId="41" xfId="0" applyNumberFormat="1" applyFont="1" applyFill="1" applyBorder="1"/>
    <xf numFmtId="0" fontId="23" fillId="33" borderId="42" xfId="0" applyFont="1" applyFill="1" applyBorder="1" applyAlignment="1">
      <alignment horizontal="center"/>
    </xf>
    <xf numFmtId="0" fontId="23" fillId="27" borderId="0" xfId="0" applyFont="1" applyFill="1"/>
    <xf numFmtId="0" fontId="27" fillId="30" borderId="54" xfId="0" applyFont="1" applyFill="1" applyBorder="1" applyAlignment="1">
      <alignment vertical="center"/>
    </xf>
    <xf numFmtId="0" fontId="23" fillId="30" borderId="0" xfId="0" applyFont="1" applyFill="1" applyAlignment="1">
      <alignment horizontal="center"/>
    </xf>
    <xf numFmtId="0" fontId="23" fillId="30" borderId="55" xfId="0" applyFont="1" applyFill="1" applyBorder="1" applyAlignment="1">
      <alignment horizontal="center"/>
    </xf>
    <xf numFmtId="0" fontId="23" fillId="30" borderId="0" xfId="0" applyFont="1" applyFill="1"/>
    <xf numFmtId="165" fontId="23" fillId="30" borderId="0" xfId="0" applyNumberFormat="1" applyFont="1" applyFill="1"/>
    <xf numFmtId="0" fontId="23" fillId="30" borderId="57" xfId="0" applyFont="1" applyFill="1" applyBorder="1"/>
    <xf numFmtId="0" fontId="23" fillId="30" borderId="57" xfId="0" applyFont="1" applyFill="1" applyBorder="1" applyAlignment="1">
      <alignment horizontal="center"/>
    </xf>
    <xf numFmtId="0" fontId="23" fillId="30" borderId="58" xfId="0" applyFont="1" applyFill="1" applyBorder="1" applyAlignment="1">
      <alignment horizontal="center"/>
    </xf>
    <xf numFmtId="0" fontId="27" fillId="27" borderId="0" xfId="0" applyFont="1" applyFill="1" applyAlignment="1">
      <alignment vertical="center"/>
    </xf>
    <xf numFmtId="0" fontId="7" fillId="27" borderId="0" xfId="0" applyFont="1" applyFill="1" applyAlignment="1">
      <alignment vertical="center"/>
    </xf>
    <xf numFmtId="0" fontId="23" fillId="33" borderId="38" xfId="0" applyFont="1" applyFill="1" applyBorder="1"/>
    <xf numFmtId="0" fontId="7" fillId="27" borderId="39" xfId="0" applyFont="1" applyFill="1" applyBorder="1"/>
    <xf numFmtId="0" fontId="23" fillId="40" borderId="0" xfId="0" applyFont="1" applyFill="1"/>
    <xf numFmtId="0" fontId="23" fillId="40" borderId="63" xfId="0" applyFont="1" applyFill="1" applyBorder="1" applyAlignment="1">
      <alignment horizontal="center"/>
    </xf>
    <xf numFmtId="166" fontId="23" fillId="40" borderId="0" xfId="0" applyNumberFormat="1" applyFont="1" applyFill="1"/>
    <xf numFmtId="0" fontId="23" fillId="40" borderId="0" xfId="0" applyFont="1" applyFill="1" applyAlignment="1">
      <alignment horizontal="center"/>
    </xf>
    <xf numFmtId="11" fontId="23" fillId="40" borderId="0" xfId="0" applyNumberFormat="1" applyFont="1" applyFill="1"/>
    <xf numFmtId="165" fontId="23" fillId="40" borderId="0" xfId="0" applyNumberFormat="1" applyFont="1" applyFill="1"/>
    <xf numFmtId="2" fontId="23" fillId="40" borderId="0" xfId="0" applyNumberFormat="1" applyFont="1" applyFill="1"/>
    <xf numFmtId="0" fontId="24" fillId="40" borderId="0" xfId="0" applyFont="1" applyFill="1"/>
    <xf numFmtId="2" fontId="23" fillId="40" borderId="65" xfId="0" applyNumberFormat="1" applyFont="1" applyFill="1" applyBorder="1"/>
    <xf numFmtId="0" fontId="23" fillId="40" borderId="65" xfId="0" applyFont="1" applyFill="1" applyBorder="1" applyAlignment="1">
      <alignment horizontal="center"/>
    </xf>
    <xf numFmtId="0" fontId="24" fillId="40" borderId="65" xfId="0" applyFont="1" applyFill="1" applyBorder="1"/>
    <xf numFmtId="0" fontId="23" fillId="40" borderId="66" xfId="0" applyFont="1" applyFill="1" applyBorder="1" applyAlignment="1">
      <alignment horizontal="center"/>
    </xf>
    <xf numFmtId="166" fontId="23" fillId="35" borderId="0" xfId="0" applyNumberFormat="1" applyFont="1" applyFill="1" applyAlignment="1">
      <alignment horizontal="right"/>
    </xf>
    <xf numFmtId="0" fontId="0" fillId="27" borderId="0" xfId="0" applyFill="1"/>
    <xf numFmtId="166" fontId="24" fillId="46" borderId="10" xfId="0" applyNumberFormat="1" applyFont="1" applyFill="1" applyBorder="1" applyProtection="1">
      <protection locked="0"/>
    </xf>
    <xf numFmtId="0" fontId="0" fillId="46" borderId="14" xfId="0" applyFill="1" applyBorder="1"/>
    <xf numFmtId="2" fontId="23" fillId="49" borderId="0" xfId="0" applyNumberFormat="1" applyFont="1" applyFill="1"/>
    <xf numFmtId="0" fontId="23" fillId="49" borderId="15" xfId="0" applyFont="1" applyFill="1" applyBorder="1" applyAlignment="1">
      <alignment horizontal="center"/>
    </xf>
    <xf numFmtId="165" fontId="24" fillId="46" borderId="10" xfId="0" applyNumberFormat="1" applyFont="1" applyFill="1" applyBorder="1" applyProtection="1">
      <protection locked="0"/>
    </xf>
    <xf numFmtId="2" fontId="24" fillId="46" borderId="10" xfId="0" applyNumberFormat="1" applyFont="1" applyFill="1" applyBorder="1" applyProtection="1">
      <protection locked="0"/>
    </xf>
    <xf numFmtId="11" fontId="24" fillId="46" borderId="10" xfId="0" applyNumberFormat="1" applyFont="1" applyFill="1" applyBorder="1" applyProtection="1">
      <protection locked="0"/>
    </xf>
    <xf numFmtId="167" fontId="24" fillId="46" borderId="10" xfId="19" applyNumberFormat="1" applyFont="1" applyFill="1" applyBorder="1" applyProtection="1">
      <protection locked="0"/>
    </xf>
    <xf numFmtId="1" fontId="24" fillId="46" borderId="10" xfId="0" applyNumberFormat="1" applyFont="1" applyFill="1" applyBorder="1" applyProtection="1">
      <protection locked="0"/>
    </xf>
    <xf numFmtId="1" fontId="24" fillId="46" borderId="10" xfId="19" applyNumberFormat="1" applyFont="1" applyFill="1" applyBorder="1" applyProtection="1">
      <protection locked="0"/>
    </xf>
    <xf numFmtId="165" fontId="24" fillId="46" borderId="10" xfId="19" applyNumberFormat="1" applyFont="1" applyFill="1" applyBorder="1" applyProtection="1">
      <protection locked="0"/>
    </xf>
    <xf numFmtId="0" fontId="23" fillId="49" borderId="0" xfId="0" applyFont="1" applyFill="1"/>
    <xf numFmtId="0" fontId="0" fillId="49" borderId="0" xfId="0" applyFill="1"/>
    <xf numFmtId="0" fontId="27" fillId="46" borderId="38" xfId="0" applyFont="1" applyFill="1" applyBorder="1" applyAlignment="1">
      <alignment vertical="center"/>
    </xf>
    <xf numFmtId="0" fontId="0" fillId="31" borderId="14" xfId="0" applyFill="1" applyBorder="1"/>
    <xf numFmtId="0" fontId="0" fillId="49" borderId="54" xfId="0" applyFill="1" applyBorder="1"/>
    <xf numFmtId="165" fontId="23" fillId="49" borderId="0" xfId="0" applyNumberFormat="1" applyFont="1" applyFill="1"/>
    <xf numFmtId="0" fontId="23" fillId="49" borderId="0" xfId="0" applyFont="1" applyFill="1" applyAlignment="1">
      <alignment horizontal="center"/>
    </xf>
    <xf numFmtId="0" fontId="23" fillId="49" borderId="55" xfId="0" applyFont="1" applyFill="1" applyBorder="1" applyAlignment="1">
      <alignment horizontal="center"/>
    </xf>
    <xf numFmtId="0" fontId="0" fillId="49" borderId="0" xfId="0" applyFill="1" applyAlignment="1">
      <alignment horizontal="left"/>
    </xf>
    <xf numFmtId="0" fontId="23" fillId="46" borderId="0" xfId="0" applyFont="1" applyFill="1" applyAlignment="1">
      <alignment horizontal="center" vertical="center"/>
    </xf>
    <xf numFmtId="0" fontId="23" fillId="46" borderId="0" xfId="0" applyFont="1" applyFill="1" applyAlignment="1">
      <alignment vertical="center"/>
    </xf>
    <xf numFmtId="0" fontId="23" fillId="46" borderId="0" xfId="0" applyFont="1" applyFill="1"/>
    <xf numFmtId="0" fontId="23" fillId="46" borderId="15" xfId="0" applyFont="1" applyFill="1" applyBorder="1" applyAlignment="1">
      <alignment horizontal="center"/>
    </xf>
    <xf numFmtId="0" fontId="0" fillId="27" borderId="0" xfId="0" applyFill="1" applyAlignment="1">
      <alignment horizontal="right"/>
    </xf>
    <xf numFmtId="0" fontId="0" fillId="31" borderId="0" xfId="0" applyFill="1"/>
    <xf numFmtId="0" fontId="0" fillId="31" borderId="15" xfId="0" applyFill="1" applyBorder="1"/>
    <xf numFmtId="0" fontId="0" fillId="33" borderId="0" xfId="0" applyFill="1"/>
    <xf numFmtId="0" fontId="0" fillId="33" borderId="39" xfId="0" applyFill="1" applyBorder="1"/>
    <xf numFmtId="0" fontId="0" fillId="46" borderId="0" xfId="0" applyFill="1"/>
    <xf numFmtId="0" fontId="0" fillId="33" borderId="41" xfId="0" applyFill="1" applyBorder="1"/>
    <xf numFmtId="0" fontId="0" fillId="33" borderId="42" xfId="0" applyFill="1" applyBorder="1"/>
    <xf numFmtId="0" fontId="0" fillId="31" borderId="16" xfId="0" applyFill="1" applyBorder="1"/>
    <xf numFmtId="0" fontId="0" fillId="31" borderId="17" xfId="0" applyFill="1" applyBorder="1"/>
    <xf numFmtId="0" fontId="0" fillId="35" borderId="24" xfId="0" applyFill="1" applyBorder="1"/>
    <xf numFmtId="0" fontId="0" fillId="35" borderId="25" xfId="0" applyFill="1" applyBorder="1"/>
    <xf numFmtId="0" fontId="0" fillId="35" borderId="26" xfId="0" applyFill="1" applyBorder="1"/>
    <xf numFmtId="0" fontId="0" fillId="34" borderId="0" xfId="0" applyFill="1"/>
    <xf numFmtId="0" fontId="0" fillId="34" borderId="30" xfId="0" applyFill="1" applyBorder="1"/>
    <xf numFmtId="0" fontId="0" fillId="34" borderId="32" xfId="0" applyFill="1" applyBorder="1"/>
    <xf numFmtId="0" fontId="0" fillId="34" borderId="33" xfId="0" applyFill="1" applyBorder="1"/>
    <xf numFmtId="0" fontId="0" fillId="34" borderId="34" xfId="0" applyFill="1" applyBorder="1"/>
    <xf numFmtId="0" fontId="0" fillId="40" borderId="62" xfId="0" applyFill="1" applyBorder="1"/>
    <xf numFmtId="0" fontId="0" fillId="40" borderId="0" xfId="0" applyFill="1"/>
    <xf numFmtId="0" fontId="0" fillId="40" borderId="64" xfId="0" applyFill="1" applyBorder="1"/>
    <xf numFmtId="0" fontId="0" fillId="40" borderId="65" xfId="0" applyFill="1" applyBorder="1"/>
    <xf numFmtId="0" fontId="23" fillId="31" borderId="14" xfId="0" applyFont="1" applyFill="1" applyBorder="1" applyAlignment="1">
      <alignment horizontal="center" vertical="center"/>
    </xf>
    <xf numFmtId="0" fontId="0" fillId="31" borderId="0" xfId="0" applyFill="1" applyAlignment="1">
      <alignment horizontal="center" vertical="center"/>
    </xf>
    <xf numFmtId="0" fontId="0" fillId="31" borderId="15" xfId="0" applyFill="1" applyBorder="1" applyAlignment="1">
      <alignment horizontal="center" vertical="center"/>
    </xf>
    <xf numFmtId="2" fontId="0" fillId="27" borderId="0" xfId="0" applyNumberFormat="1" applyFill="1"/>
    <xf numFmtId="0" fontId="0" fillId="35" borderId="0" xfId="0" applyFill="1" applyAlignment="1">
      <alignment vertical="center"/>
    </xf>
    <xf numFmtId="2" fontId="0" fillId="35" borderId="0" xfId="0" applyNumberFormat="1" applyFill="1" applyAlignment="1">
      <alignment vertical="center"/>
    </xf>
    <xf numFmtId="0" fontId="0" fillId="35" borderId="46" xfId="0" applyFill="1" applyBorder="1"/>
    <xf numFmtId="0" fontId="0" fillId="35" borderId="48" xfId="0" applyFill="1" applyBorder="1"/>
    <xf numFmtId="0" fontId="0" fillId="35" borderId="49" xfId="0" applyFill="1" applyBorder="1"/>
    <xf numFmtId="0" fontId="0" fillId="33" borderId="0" xfId="0" applyFill="1" applyAlignment="1">
      <alignment vertical="center"/>
    </xf>
    <xf numFmtId="0" fontId="0" fillId="33" borderId="39" xfId="0" applyFill="1" applyBorder="1" applyAlignment="1">
      <alignment vertical="center"/>
    </xf>
    <xf numFmtId="0" fontId="0" fillId="46" borderId="0" xfId="0" applyFill="1" applyAlignment="1">
      <alignment vertical="center"/>
    </xf>
    <xf numFmtId="0" fontId="0" fillId="46" borderId="39" xfId="0" applyFill="1" applyBorder="1" applyAlignment="1">
      <alignment vertical="center"/>
    </xf>
    <xf numFmtId="0" fontId="0" fillId="33" borderId="38" xfId="0" applyFill="1" applyBorder="1"/>
    <xf numFmtId="0" fontId="0" fillId="33" borderId="40" xfId="0" applyFill="1" applyBorder="1"/>
    <xf numFmtId="0" fontId="0" fillId="34" borderId="0" xfId="0" applyFill="1" applyAlignment="1">
      <alignment vertical="center"/>
    </xf>
    <xf numFmtId="0" fontId="0" fillId="30" borderId="0" xfId="0" applyFill="1"/>
    <xf numFmtId="0" fontId="0" fillId="30" borderId="54" xfId="0" applyFill="1" applyBorder="1"/>
    <xf numFmtId="0" fontId="0" fillId="30" borderId="56" xfId="0" applyFill="1" applyBorder="1"/>
    <xf numFmtId="0" fontId="0" fillId="30" borderId="57" xfId="0" applyFill="1" applyBorder="1"/>
    <xf numFmtId="2" fontId="0" fillId="49" borderId="0" xfId="0" applyNumberFormat="1" applyFill="1"/>
    <xf numFmtId="0" fontId="0" fillId="49" borderId="14" xfId="0" applyFill="1" applyBorder="1"/>
    <xf numFmtId="0" fontId="7" fillId="50" borderId="0" xfId="0" applyFont="1" applyFill="1"/>
    <xf numFmtId="0" fontId="32" fillId="50" borderId="0" xfId="0" applyFont="1" applyFill="1"/>
    <xf numFmtId="11" fontId="23" fillId="33" borderId="0" xfId="0" applyNumberFormat="1" applyFont="1" applyFill="1"/>
    <xf numFmtId="11" fontId="23" fillId="33" borderId="41" xfId="0" applyNumberFormat="1" applyFont="1" applyFill="1" applyBorder="1"/>
    <xf numFmtId="0" fontId="23" fillId="33" borderId="42" xfId="0" applyFont="1" applyFill="1" applyBorder="1" applyAlignment="1">
      <alignment horizontal="right"/>
    </xf>
    <xf numFmtId="0" fontId="23" fillId="33" borderId="39" xfId="0" applyFont="1" applyFill="1" applyBorder="1" applyAlignment="1">
      <alignment horizontal="right"/>
    </xf>
    <xf numFmtId="166" fontId="24" fillId="46" borderId="67" xfId="0" applyNumberFormat="1" applyFont="1" applyFill="1" applyBorder="1" applyProtection="1">
      <protection locked="0"/>
    </xf>
    <xf numFmtId="2" fontId="23" fillId="31" borderId="17" xfId="0" applyNumberFormat="1" applyFont="1" applyFill="1" applyBorder="1"/>
    <xf numFmtId="0" fontId="34" fillId="0" borderId="68" xfId="0" applyFont="1" applyBorder="1"/>
    <xf numFmtId="164" fontId="35" fillId="0" borderId="69" xfId="0" applyNumberFormat="1" applyFont="1" applyBorder="1"/>
    <xf numFmtId="0" fontId="35" fillId="0" borderId="70" xfId="0" applyFont="1" applyBorder="1" applyAlignment="1">
      <alignment horizontal="center"/>
    </xf>
    <xf numFmtId="0" fontId="35" fillId="0" borderId="0" xfId="0" applyFont="1"/>
    <xf numFmtId="0" fontId="34" fillId="0" borderId="0" xfId="0" applyFont="1" applyAlignment="1">
      <alignment horizontal="left"/>
    </xf>
    <xf numFmtId="0" fontId="34" fillId="0" borderId="71" xfId="0" applyFont="1" applyBorder="1"/>
    <xf numFmtId="164" fontId="35" fillId="0" borderId="0" xfId="0" applyNumberFormat="1" applyFont="1"/>
    <xf numFmtId="0" fontId="35" fillId="0" borderId="72" xfId="0" applyFont="1" applyBorder="1" applyAlignment="1">
      <alignment horizontal="center"/>
    </xf>
    <xf numFmtId="11" fontId="35" fillId="0" borderId="0" xfId="0" applyNumberFormat="1" applyFont="1"/>
    <xf numFmtId="0" fontId="34" fillId="51" borderId="10" xfId="0" applyFont="1" applyFill="1" applyBorder="1" applyAlignment="1">
      <alignment horizontal="left"/>
    </xf>
    <xf numFmtId="0" fontId="35" fillId="0" borderId="69" xfId="0" applyFont="1" applyBorder="1"/>
    <xf numFmtId="0" fontId="36" fillId="0" borderId="69" xfId="0" applyFont="1" applyBorder="1" applyAlignment="1">
      <alignment horizontal="centerContinuous"/>
    </xf>
    <xf numFmtId="0" fontId="35" fillId="0" borderId="69" xfId="0" applyFont="1" applyBorder="1" applyAlignment="1">
      <alignment horizontal="centerContinuous"/>
    </xf>
    <xf numFmtId="0" fontId="35" fillId="0" borderId="70" xfId="0" applyFont="1" applyBorder="1" applyAlignment="1">
      <alignment horizontal="centerContinuous"/>
    </xf>
    <xf numFmtId="0" fontId="35" fillId="0" borderId="68" xfId="0" applyFont="1" applyBorder="1" applyAlignment="1">
      <alignment horizontal="centerContinuous"/>
    </xf>
    <xf numFmtId="11" fontId="35" fillId="0" borderId="69" xfId="0" applyNumberFormat="1" applyFont="1" applyBorder="1" applyAlignment="1">
      <alignment horizontal="centerContinuous"/>
    </xf>
    <xf numFmtId="0" fontId="34" fillId="0" borderId="73" xfId="0" applyFont="1" applyBorder="1"/>
    <xf numFmtId="164" fontId="35" fillId="0" borderId="74" xfId="0" applyNumberFormat="1" applyFont="1" applyBorder="1"/>
    <xf numFmtId="0" fontId="35" fillId="0" borderId="75" xfId="0" applyFont="1" applyBorder="1" applyAlignment="1">
      <alignment horizontal="center"/>
    </xf>
    <xf numFmtId="0" fontId="37" fillId="0" borderId="71" xfId="0" applyFont="1" applyBorder="1" applyAlignment="1">
      <alignment horizontal="center"/>
    </xf>
    <xf numFmtId="0" fontId="37" fillId="0" borderId="0" xfId="0" applyFont="1" applyAlignment="1">
      <alignment horizontal="center"/>
    </xf>
    <xf numFmtId="0" fontId="37" fillId="0" borderId="0" xfId="0" applyFont="1" applyAlignment="1">
      <alignment horizontal="centerContinuous"/>
    </xf>
    <xf numFmtId="0" fontId="37" fillId="0" borderId="72" xfId="0" applyFont="1" applyBorder="1" applyAlignment="1">
      <alignment horizontal="centerContinuous"/>
    </xf>
    <xf numFmtId="0" fontId="37" fillId="0" borderId="71" xfId="0" applyFont="1" applyBorder="1" applyAlignment="1">
      <alignment horizontal="centerContinuous"/>
    </xf>
    <xf numFmtId="0" fontId="35" fillId="0" borderId="72" xfId="0" applyFont="1" applyBorder="1" applyAlignment="1">
      <alignment horizontal="centerContinuous"/>
    </xf>
    <xf numFmtId="0" fontId="35" fillId="0" borderId="0" xfId="0" applyFont="1" applyAlignment="1">
      <alignment horizontal="center"/>
    </xf>
    <xf numFmtId="0" fontId="35" fillId="0" borderId="71" xfId="0" applyFont="1" applyBorder="1"/>
    <xf numFmtId="0" fontId="35" fillId="0" borderId="72" xfId="0" applyFont="1" applyBorder="1"/>
    <xf numFmtId="11" fontId="35" fillId="0" borderId="71" xfId="0" applyNumberFormat="1" applyFont="1" applyBorder="1"/>
    <xf numFmtId="11" fontId="35" fillId="0" borderId="72" xfId="0" applyNumberFormat="1" applyFont="1" applyBorder="1"/>
    <xf numFmtId="0" fontId="34" fillId="0" borderId="76" xfId="0" applyFont="1" applyBorder="1"/>
    <xf numFmtId="0" fontId="35" fillId="0" borderId="77" xfId="0" applyFont="1" applyBorder="1"/>
    <xf numFmtId="0" fontId="35" fillId="0" borderId="78" xfId="0" applyFont="1" applyBorder="1" applyAlignment="1">
      <alignment horizontal="center"/>
    </xf>
    <xf numFmtId="168" fontId="35" fillId="0" borderId="69" xfId="0" applyNumberFormat="1" applyFont="1" applyBorder="1"/>
    <xf numFmtId="169" fontId="35" fillId="0" borderId="0" xfId="0" applyNumberFormat="1" applyFont="1"/>
    <xf numFmtId="169" fontId="35" fillId="0" borderId="74" xfId="0" applyNumberFormat="1" applyFont="1" applyBorder="1"/>
    <xf numFmtId="0" fontId="35" fillId="0" borderId="73" xfId="0" applyFont="1" applyBorder="1"/>
    <xf numFmtId="0" fontId="35" fillId="0" borderId="74" xfId="0" applyFont="1" applyBorder="1"/>
    <xf numFmtId="11" fontId="35" fillId="0" borderId="74" xfId="0" applyNumberFormat="1" applyFont="1" applyBorder="1"/>
    <xf numFmtId="0" fontId="35" fillId="0" borderId="75" xfId="0" applyFont="1" applyBorder="1"/>
    <xf numFmtId="11" fontId="35" fillId="0" borderId="73" xfId="0" applyNumberFormat="1" applyFont="1" applyBorder="1"/>
    <xf numFmtId="2" fontId="35" fillId="0" borderId="0" xfId="0" applyNumberFormat="1" applyFont="1"/>
    <xf numFmtId="168" fontId="35" fillId="0" borderId="0" xfId="0" applyNumberFormat="1" applyFont="1"/>
    <xf numFmtId="165" fontId="35" fillId="0" borderId="0" xfId="0" applyNumberFormat="1" applyFont="1"/>
    <xf numFmtId="0" fontId="35" fillId="0" borderId="70" xfId="0" applyFont="1" applyBorder="1"/>
    <xf numFmtId="0" fontId="34" fillId="51" borderId="79" xfId="0" applyFont="1" applyFill="1" applyBorder="1"/>
    <xf numFmtId="0" fontId="35" fillId="0" borderId="69" xfId="0" applyFont="1" applyBorder="1" applyAlignment="1">
      <alignment horizontal="center"/>
    </xf>
    <xf numFmtId="0" fontId="35" fillId="0" borderId="80" xfId="0" applyFont="1" applyBorder="1" applyAlignment="1">
      <alignment horizontal="center"/>
    </xf>
    <xf numFmtId="0" fontId="35" fillId="0" borderId="81" xfId="0" applyFont="1" applyBorder="1"/>
    <xf numFmtId="0" fontId="35" fillId="0" borderId="71" xfId="0" applyFont="1" applyBorder="1" applyAlignment="1">
      <alignment horizontal="left"/>
    </xf>
    <xf numFmtId="10" fontId="35" fillId="0" borderId="82" xfId="0" applyNumberFormat="1" applyFont="1" applyBorder="1"/>
    <xf numFmtId="10" fontId="35" fillId="0" borderId="0" xfId="0" applyNumberFormat="1" applyFont="1"/>
    <xf numFmtId="10" fontId="35" fillId="0" borderId="0" xfId="19" applyNumberFormat="1" applyFont="1"/>
    <xf numFmtId="10" fontId="35" fillId="0" borderId="72" xfId="19" applyNumberFormat="1" applyFont="1" applyBorder="1"/>
    <xf numFmtId="167" fontId="35" fillId="0" borderId="74" xfId="19" applyNumberFormat="1" applyFont="1" applyBorder="1"/>
    <xf numFmtId="10" fontId="35" fillId="0" borderId="74" xfId="19" applyNumberFormat="1" applyFont="1" applyBorder="1"/>
    <xf numFmtId="0" fontId="35" fillId="0" borderId="0" xfId="0" applyFont="1" applyAlignment="1">
      <alignment horizontal="centerContinuous"/>
    </xf>
    <xf numFmtId="0" fontId="35" fillId="0" borderId="73" xfId="0" applyFont="1" applyBorder="1" applyAlignment="1">
      <alignment horizontal="left"/>
    </xf>
    <xf numFmtId="0" fontId="35" fillId="0" borderId="74" xfId="0" applyFont="1" applyBorder="1" applyAlignment="1">
      <alignment horizontal="center"/>
    </xf>
    <xf numFmtId="0" fontId="35" fillId="0" borderId="83" xfId="0" applyFont="1" applyBorder="1"/>
    <xf numFmtId="0" fontId="39" fillId="0" borderId="84" xfId="43" applyFont="1" applyBorder="1" applyAlignment="1">
      <alignment horizontal="right" vertical="center"/>
    </xf>
    <xf numFmtId="0" fontId="39" fillId="0" borderId="78" xfId="43" applyFont="1" applyBorder="1"/>
    <xf numFmtId="0" fontId="40" fillId="25" borderId="76" xfId="43" applyFont="1" applyFill="1" applyBorder="1" applyAlignment="1">
      <alignment horizontal="center" vertical="center" wrapText="1"/>
    </xf>
    <xf numFmtId="0" fontId="40" fillId="25" borderId="77" xfId="43" applyFont="1" applyFill="1" applyBorder="1" applyAlignment="1">
      <alignment horizontal="center" vertical="center"/>
    </xf>
    <xf numFmtId="0" fontId="40" fillId="25" borderId="78" xfId="43" applyFont="1" applyFill="1" applyBorder="1" applyAlignment="1">
      <alignment horizontal="center" vertical="center" wrapText="1"/>
    </xf>
    <xf numFmtId="0" fontId="41" fillId="52" borderId="92" xfId="43" applyFont="1" applyFill="1" applyBorder="1" applyAlignment="1">
      <alignment horizontal="center" vertical="center" wrapText="1"/>
    </xf>
    <xf numFmtId="0" fontId="41" fillId="52" borderId="93" xfId="43" applyFont="1" applyFill="1" applyBorder="1" applyAlignment="1">
      <alignment horizontal="center" vertical="center" wrapText="1"/>
    </xf>
    <xf numFmtId="0" fontId="41" fillId="25" borderId="94" xfId="43" applyFont="1" applyFill="1" applyBorder="1" applyAlignment="1">
      <alignment horizontal="right" vertical="center"/>
    </xf>
    <xf numFmtId="3" fontId="39" fillId="0" borderId="95" xfId="43" applyNumberFormat="1" applyFont="1" applyBorder="1" applyAlignment="1">
      <alignment horizontal="right" vertical="center" wrapText="1"/>
    </xf>
    <xf numFmtId="0" fontId="39" fillId="0" borderId="72" xfId="43" applyFont="1" applyBorder="1" applyAlignment="1">
      <alignment horizontal="left" vertical="center" wrapText="1"/>
    </xf>
    <xf numFmtId="0" fontId="42" fillId="53" borderId="71" xfId="43" applyFont="1" applyFill="1" applyBorder="1" applyAlignment="1">
      <alignment horizontal="center" vertical="center"/>
    </xf>
    <xf numFmtId="166" fontId="39" fillId="53" borderId="0" xfId="43" applyNumberFormat="1" applyFont="1" applyFill="1" applyAlignment="1">
      <alignment horizontal="center" vertical="center"/>
    </xf>
    <xf numFmtId="165" fontId="39" fillId="53" borderId="0" xfId="43" applyNumberFormat="1" applyFont="1" applyFill="1" applyAlignment="1">
      <alignment horizontal="center" vertical="center"/>
    </xf>
    <xf numFmtId="169" fontId="39" fillId="53" borderId="0" xfId="43" applyNumberFormat="1" applyFont="1" applyFill="1" applyAlignment="1">
      <alignment horizontal="center" vertical="center"/>
    </xf>
    <xf numFmtId="170" fontId="39" fillId="53" borderId="0" xfId="43" applyNumberFormat="1" applyFont="1" applyFill="1" applyAlignment="1">
      <alignment horizontal="center" vertical="center"/>
    </xf>
    <xf numFmtId="165" fontId="39" fillId="53" borderId="72" xfId="43" applyNumberFormat="1" applyFont="1" applyFill="1" applyBorder="1" applyAlignment="1">
      <alignment horizontal="center" vertical="center"/>
    </xf>
    <xf numFmtId="0" fontId="41" fillId="25" borderId="96" xfId="43" applyFont="1" applyFill="1" applyBorder="1" applyAlignment="1">
      <alignment horizontal="right" vertical="center"/>
    </xf>
    <xf numFmtId="168" fontId="39" fillId="0" borderId="95" xfId="43" applyNumberFormat="1" applyFont="1" applyBorder="1" applyAlignment="1">
      <alignment horizontal="right" vertical="center" wrapText="1"/>
    </xf>
    <xf numFmtId="10" fontId="35" fillId="0" borderId="75" xfId="19" applyNumberFormat="1" applyFont="1" applyBorder="1"/>
    <xf numFmtId="0" fontId="43" fillId="25" borderId="96" xfId="43" applyFont="1" applyFill="1" applyBorder="1" applyAlignment="1">
      <alignment horizontal="right" vertical="center"/>
    </xf>
    <xf numFmtId="166" fontId="39" fillId="0" borderId="95" xfId="43" applyNumberFormat="1" applyFont="1" applyBorder="1" applyAlignment="1">
      <alignment horizontal="right" vertical="center" wrapText="1"/>
    </xf>
    <xf numFmtId="0" fontId="41" fillId="25" borderId="97" xfId="43" applyFont="1" applyFill="1" applyBorder="1" applyAlignment="1">
      <alignment horizontal="right" vertical="center"/>
    </xf>
    <xf numFmtId="171" fontId="39" fillId="0" borderId="98" xfId="43" applyNumberFormat="1" applyFont="1" applyBorder="1" applyAlignment="1">
      <alignment horizontal="right" vertical="center" wrapText="1"/>
    </xf>
    <xf numFmtId="0" fontId="39" fillId="0" borderId="75" xfId="43" applyFont="1" applyBorder="1" applyAlignment="1">
      <alignment horizontal="left" vertical="center" wrapText="1"/>
    </xf>
    <xf numFmtId="11" fontId="35" fillId="0" borderId="70" xfId="0" applyNumberFormat="1" applyFont="1" applyBorder="1"/>
    <xf numFmtId="167" fontId="35" fillId="0" borderId="0" xfId="19" applyNumberFormat="1" applyFont="1"/>
    <xf numFmtId="165" fontId="35" fillId="0" borderId="72" xfId="0" applyNumberFormat="1" applyFont="1" applyBorder="1"/>
    <xf numFmtId="0" fontId="42" fillId="53" borderId="73" xfId="43" applyFont="1" applyFill="1" applyBorder="1" applyAlignment="1">
      <alignment horizontal="center" vertical="center"/>
    </xf>
    <xf numFmtId="166" fontId="39" fillId="53" borderId="74" xfId="43" applyNumberFormat="1" applyFont="1" applyFill="1" applyBorder="1" applyAlignment="1">
      <alignment horizontal="center" vertical="center"/>
    </xf>
    <xf numFmtId="165" fontId="39" fillId="53" borderId="74" xfId="43" applyNumberFormat="1" applyFont="1" applyFill="1" applyBorder="1" applyAlignment="1">
      <alignment horizontal="center" vertical="center"/>
    </xf>
    <xf numFmtId="169" fontId="39" fillId="53" borderId="74" xfId="43" applyNumberFormat="1" applyFont="1" applyFill="1" applyBorder="1" applyAlignment="1">
      <alignment horizontal="center" vertical="center"/>
    </xf>
    <xf numFmtId="170" fontId="39" fillId="53" borderId="74" xfId="43" applyNumberFormat="1" applyFont="1" applyFill="1" applyBorder="1" applyAlignment="1">
      <alignment horizontal="center" vertical="center"/>
    </xf>
    <xf numFmtId="165" fontId="39" fillId="53" borderId="75" xfId="43" applyNumberFormat="1" applyFont="1" applyFill="1" applyBorder="1" applyAlignment="1">
      <alignment horizontal="center" vertical="center"/>
    </xf>
    <xf numFmtId="165" fontId="35" fillId="0" borderId="74" xfId="0" applyNumberFormat="1" applyFont="1" applyBorder="1"/>
    <xf numFmtId="165" fontId="35" fillId="0" borderId="75" xfId="0" applyNumberFormat="1" applyFont="1" applyBorder="1"/>
    <xf numFmtId="0" fontId="34" fillId="51" borderId="68" xfId="0" applyFont="1" applyFill="1" applyBorder="1" applyAlignment="1">
      <alignment horizontal="left"/>
    </xf>
    <xf numFmtId="0" fontId="34" fillId="51" borderId="69" xfId="0" applyFont="1" applyFill="1" applyBorder="1" applyAlignment="1">
      <alignment horizontal="centerContinuous"/>
    </xf>
    <xf numFmtId="0" fontId="34" fillId="0" borderId="69" xfId="0" applyFont="1" applyBorder="1" applyAlignment="1">
      <alignment horizontal="centerContinuous"/>
    </xf>
    <xf numFmtId="0" fontId="34" fillId="0" borderId="70" xfId="0" applyFont="1" applyBorder="1" applyAlignment="1">
      <alignment horizontal="centerContinuous"/>
    </xf>
    <xf numFmtId="0" fontId="35" fillId="0" borderId="68" xfId="0" applyFont="1" applyBorder="1" applyAlignment="1">
      <alignment horizontal="center"/>
    </xf>
    <xf numFmtId="0" fontId="35" fillId="0" borderId="71" xfId="0" applyFont="1" applyBorder="1" applyAlignment="1">
      <alignment horizontal="center"/>
    </xf>
    <xf numFmtId="166" fontId="35" fillId="0" borderId="0" xfId="0" applyNumberFormat="1" applyFont="1"/>
    <xf numFmtId="166" fontId="35" fillId="0" borderId="72" xfId="0" applyNumberFormat="1" applyFont="1" applyBorder="1"/>
    <xf numFmtId="2" fontId="46" fillId="0" borderId="0" xfId="0" applyNumberFormat="1" applyFont="1" applyAlignment="1">
      <alignment horizontal="left" indent="1"/>
    </xf>
    <xf numFmtId="166" fontId="35" fillId="0" borderId="74" xfId="0" applyNumberFormat="1" applyFont="1" applyBorder="1"/>
    <xf numFmtId="0" fontId="35" fillId="51" borderId="69" xfId="0" applyFont="1" applyFill="1" applyBorder="1" applyAlignment="1">
      <alignment horizontal="centerContinuous"/>
    </xf>
    <xf numFmtId="0" fontId="35" fillId="0" borderId="0" xfId="0" quotePrefix="1" applyFont="1" applyAlignment="1">
      <alignment horizontal="center"/>
    </xf>
    <xf numFmtId="0" fontId="35" fillId="0" borderId="74" xfId="0" quotePrefix="1" applyFont="1" applyBorder="1" applyAlignment="1">
      <alignment horizontal="center"/>
    </xf>
    <xf numFmtId="0" fontId="34" fillId="0" borderId="0" xfId="0" applyFont="1" applyAlignment="1">
      <alignment horizontal="centerContinuous"/>
    </xf>
    <xf numFmtId="0" fontId="35" fillId="0" borderId="71" xfId="0" applyFont="1" applyBorder="1" applyAlignment="1">
      <alignment horizontal="centerContinuous"/>
    </xf>
    <xf numFmtId="166" fontId="35" fillId="0" borderId="75" xfId="0" applyNumberFormat="1" applyFont="1" applyBorder="1"/>
    <xf numFmtId="0" fontId="34" fillId="51" borderId="68" xfId="0" applyFont="1" applyFill="1" applyBorder="1"/>
    <xf numFmtId="0" fontId="35" fillId="51" borderId="69" xfId="0" applyFont="1" applyFill="1" applyBorder="1"/>
    <xf numFmtId="0" fontId="46" fillId="0" borderId="71" xfId="0" applyFont="1" applyBorder="1" applyAlignment="1">
      <alignment horizontal="center"/>
    </xf>
    <xf numFmtId="167" fontId="46" fillId="0" borderId="0" xfId="19" applyNumberFormat="1" applyFont="1" applyAlignment="1">
      <alignment horizontal="center"/>
    </xf>
    <xf numFmtId="0" fontId="46" fillId="0" borderId="0" xfId="0" applyFont="1" applyAlignment="1">
      <alignment horizontal="center"/>
    </xf>
    <xf numFmtId="0" fontId="46" fillId="24" borderId="101" xfId="0" applyFont="1" applyFill="1" applyBorder="1"/>
    <xf numFmtId="0" fontId="46" fillId="0" borderId="72" xfId="0" applyFont="1" applyBorder="1"/>
    <xf numFmtId="0" fontId="46" fillId="0" borderId="73" xfId="0" applyFont="1" applyBorder="1" applyAlignment="1">
      <alignment horizontal="center"/>
    </xf>
    <xf numFmtId="167" fontId="46" fillId="0" borderId="74" xfId="19" applyNumberFormat="1" applyFont="1" applyBorder="1" applyAlignment="1">
      <alignment horizontal="center"/>
    </xf>
    <xf numFmtId="0" fontId="46" fillId="0" borderId="74" xfId="0" applyFont="1" applyBorder="1" applyAlignment="1">
      <alignment horizontal="center"/>
    </xf>
    <xf numFmtId="0" fontId="46" fillId="0" borderId="0" xfId="0" applyFont="1"/>
    <xf numFmtId="0" fontId="35" fillId="0" borderId="68" xfId="0" applyFont="1" applyBorder="1"/>
    <xf numFmtId="0" fontId="46" fillId="0" borderId="69" xfId="0" applyFont="1" applyBorder="1" applyAlignment="1">
      <alignment horizontal="center"/>
    </xf>
    <xf numFmtId="0" fontId="46" fillId="0" borderId="70" xfId="0" applyFont="1" applyBorder="1" applyAlignment="1">
      <alignment horizontal="center"/>
    </xf>
    <xf numFmtId="0" fontId="47" fillId="51" borderId="68" xfId="0" applyFont="1" applyFill="1" applyBorder="1"/>
    <xf numFmtId="0" fontId="46" fillId="0" borderId="72" xfId="0" applyFont="1" applyBorder="1" applyAlignment="1">
      <alignment horizontal="center"/>
    </xf>
    <xf numFmtId="0" fontId="46" fillId="0" borderId="71" xfId="0" applyFont="1" applyBorder="1"/>
    <xf numFmtId="10" fontId="46" fillId="0" borderId="0" xfId="19" applyNumberFormat="1" applyFont="1"/>
    <xf numFmtId="167" fontId="46" fillId="0" borderId="0" xfId="19" applyNumberFormat="1" applyFont="1"/>
    <xf numFmtId="167" fontId="46" fillId="0" borderId="72" xfId="0" applyNumberFormat="1" applyFont="1" applyBorder="1"/>
    <xf numFmtId="10" fontId="47" fillId="0" borderId="0" xfId="19" applyNumberFormat="1" applyFont="1"/>
    <xf numFmtId="167" fontId="47" fillId="0" borderId="0" xfId="19" applyNumberFormat="1" applyFont="1"/>
    <xf numFmtId="167" fontId="47" fillId="0" borderId="72" xfId="19" applyNumberFormat="1" applyFont="1" applyBorder="1"/>
    <xf numFmtId="10" fontId="48" fillId="0" borderId="0" xfId="19" applyNumberFormat="1" applyFont="1"/>
    <xf numFmtId="167" fontId="48" fillId="0" borderId="0" xfId="19" applyNumberFormat="1" applyFont="1"/>
    <xf numFmtId="0" fontId="36" fillId="0" borderId="0" xfId="19" applyNumberFormat="1" applyFont="1" applyProtection="1">
      <protection locked="0"/>
    </xf>
    <xf numFmtId="10" fontId="36" fillId="0" borderId="0" xfId="19" applyNumberFormat="1" applyFont="1" applyProtection="1">
      <protection locked="0"/>
    </xf>
    <xf numFmtId="10" fontId="46" fillId="0" borderId="71" xfId="0" applyNumberFormat="1" applyFont="1" applyBorder="1"/>
    <xf numFmtId="0" fontId="46" fillId="0" borderId="73" xfId="0" applyFont="1" applyBorder="1"/>
    <xf numFmtId="0" fontId="46" fillId="0" borderId="74" xfId="0" applyFont="1" applyBorder="1"/>
    <xf numFmtId="10" fontId="46" fillId="0" borderId="74" xfId="19" applyNumberFormat="1" applyFont="1" applyBorder="1"/>
    <xf numFmtId="167" fontId="46" fillId="0" borderId="74" xfId="19" applyNumberFormat="1" applyFont="1" applyBorder="1"/>
    <xf numFmtId="167" fontId="46" fillId="0" borderId="75" xfId="0" applyNumberFormat="1" applyFont="1" applyBorder="1"/>
    <xf numFmtId="9" fontId="35" fillId="0" borderId="72" xfId="19" applyFont="1" applyBorder="1"/>
    <xf numFmtId="9" fontId="35" fillId="0" borderId="75" xfId="19" applyFont="1" applyBorder="1"/>
    <xf numFmtId="0" fontId="23" fillId="33" borderId="39" xfId="0" applyFont="1" applyFill="1" applyBorder="1" applyAlignment="1">
      <alignment horizontal="center" vertical="center"/>
    </xf>
    <xf numFmtId="0" fontId="23" fillId="33" borderId="42" xfId="0" applyFont="1" applyFill="1" applyBorder="1" applyAlignment="1">
      <alignment horizontal="center" vertical="center"/>
    </xf>
    <xf numFmtId="1" fontId="23" fillId="46" borderId="0" xfId="0" applyNumberFormat="1" applyFont="1" applyFill="1"/>
    <xf numFmtId="0" fontId="0" fillId="30" borderId="55" xfId="0" applyFill="1" applyBorder="1"/>
    <xf numFmtId="0" fontId="0" fillId="49" borderId="56" xfId="0" applyFill="1" applyBorder="1"/>
    <xf numFmtId="0" fontId="0" fillId="49" borderId="57" xfId="0" applyFill="1" applyBorder="1"/>
    <xf numFmtId="0" fontId="23" fillId="49" borderId="57" xfId="0" applyFont="1" applyFill="1" applyBorder="1"/>
    <xf numFmtId="0" fontId="23" fillId="49" borderId="57" xfId="0" applyFont="1" applyFill="1" applyBorder="1" applyAlignment="1">
      <alignment horizontal="center"/>
    </xf>
    <xf numFmtId="165" fontId="23" fillId="49" borderId="57" xfId="0" applyNumberFormat="1" applyFont="1" applyFill="1" applyBorder="1"/>
    <xf numFmtId="0" fontId="23" fillId="49" borderId="58" xfId="0" applyFont="1" applyFill="1" applyBorder="1" applyAlignment="1">
      <alignment horizontal="center"/>
    </xf>
    <xf numFmtId="0" fontId="0" fillId="30" borderId="0" xfId="0" applyFill="1" applyAlignment="1">
      <alignment horizontal="center"/>
    </xf>
    <xf numFmtId="165" fontId="0" fillId="30" borderId="0" xfId="0" applyNumberFormat="1" applyFill="1"/>
    <xf numFmtId="1" fontId="0" fillId="30" borderId="0" xfId="0" applyNumberFormat="1" applyFill="1"/>
    <xf numFmtId="0" fontId="53" fillId="51" borderId="102" xfId="0" applyFont="1" applyFill="1" applyBorder="1" applyAlignment="1">
      <alignment horizontal="center"/>
    </xf>
    <xf numFmtId="0" fontId="53" fillId="51" borderId="103" xfId="0" applyFont="1" applyFill="1" applyBorder="1" applyAlignment="1">
      <alignment horizontal="center"/>
    </xf>
    <xf numFmtId="0" fontId="55" fillId="27" borderId="0" xfId="49" applyFont="1" applyFill="1" applyAlignment="1">
      <alignment vertical="center" wrapText="1"/>
    </xf>
    <xf numFmtId="0" fontId="55" fillId="0" borderId="0" xfId="49" applyFont="1" applyAlignment="1">
      <alignment vertical="center" wrapText="1"/>
    </xf>
    <xf numFmtId="0" fontId="56" fillId="0" borderId="0" xfId="49" applyFont="1" applyAlignment="1">
      <alignment horizontal="left" vertical="center"/>
    </xf>
    <xf numFmtId="0" fontId="57" fillId="58" borderId="0" xfId="49" applyFont="1" applyFill="1" applyAlignment="1">
      <alignment horizontal="left" vertical="center"/>
    </xf>
    <xf numFmtId="0" fontId="56" fillId="27" borderId="0" xfId="49" applyFont="1" applyFill="1" applyAlignment="1">
      <alignment horizontal="left" vertical="center"/>
    </xf>
    <xf numFmtId="0" fontId="56" fillId="59" borderId="107" xfId="49" applyFont="1" applyFill="1" applyBorder="1" applyAlignment="1">
      <alignment horizontal="left" vertical="center"/>
    </xf>
    <xf numFmtId="0" fontId="56" fillId="27" borderId="107" xfId="49" applyFont="1" applyFill="1" applyBorder="1" applyAlignment="1">
      <alignment horizontal="left" vertical="center"/>
    </xf>
    <xf numFmtId="0" fontId="23" fillId="47" borderId="14" xfId="0" applyFont="1" applyFill="1" applyBorder="1" applyAlignment="1">
      <alignment horizontal="center"/>
    </xf>
    <xf numFmtId="0" fontId="23" fillId="47" borderId="0" xfId="0" applyFont="1" applyFill="1" applyAlignment="1">
      <alignment horizontal="center"/>
    </xf>
    <xf numFmtId="0" fontId="23" fillId="47" borderId="15" xfId="0" applyFont="1" applyFill="1" applyBorder="1" applyAlignment="1">
      <alignment horizontal="center"/>
    </xf>
    <xf numFmtId="0" fontId="59" fillId="0" borderId="0" xfId="50" applyFont="1"/>
    <xf numFmtId="0" fontId="58" fillId="0" borderId="0" xfId="50"/>
    <xf numFmtId="0" fontId="58" fillId="0" borderId="0" xfId="51"/>
    <xf numFmtId="0" fontId="58" fillId="60" borderId="0" xfId="50" applyFill="1"/>
    <xf numFmtId="0" fontId="51" fillId="0" borderId="0" xfId="52"/>
    <xf numFmtId="0" fontId="1" fillId="27" borderId="0" xfId="89" applyFill="1"/>
    <xf numFmtId="0" fontId="60" fillId="27" borderId="0" xfId="89" applyFont="1" applyFill="1"/>
    <xf numFmtId="0" fontId="54" fillId="27" borderId="0" xfId="89" applyFont="1" applyFill="1"/>
    <xf numFmtId="0" fontId="61" fillId="27" borderId="0" xfId="89" applyFont="1" applyFill="1"/>
    <xf numFmtId="0" fontId="62" fillId="40" borderId="108" xfId="89" applyFont="1" applyFill="1" applyBorder="1" applyAlignment="1">
      <alignment horizontal="center" vertical="center" wrapText="1"/>
    </xf>
    <xf numFmtId="0" fontId="1" fillId="61" borderId="69" xfId="89" applyFill="1" applyBorder="1" applyAlignment="1">
      <alignment horizontal="center"/>
    </xf>
    <xf numFmtId="0" fontId="1" fillId="61" borderId="70" xfId="89" applyFill="1" applyBorder="1" applyAlignment="1">
      <alignment horizontal="center"/>
    </xf>
    <xf numFmtId="0" fontId="1" fillId="62" borderId="108" xfId="89" applyFill="1" applyBorder="1"/>
    <xf numFmtId="0" fontId="1" fillId="62" borderId="77" xfId="89" applyFill="1" applyBorder="1"/>
    <xf numFmtId="0" fontId="1" fillId="62" borderId="78" xfId="89" applyFill="1" applyBorder="1"/>
    <xf numFmtId="0" fontId="1" fillId="40" borderId="108" xfId="89" applyFill="1" applyBorder="1" applyAlignment="1">
      <alignment wrapText="1"/>
    </xf>
    <xf numFmtId="0" fontId="1" fillId="40" borderId="69" xfId="89" applyFill="1" applyBorder="1" applyAlignment="1">
      <alignment horizontal="center" textRotation="90"/>
    </xf>
    <xf numFmtId="0" fontId="54" fillId="40" borderId="108" xfId="89" applyFont="1" applyFill="1" applyBorder="1" applyAlignment="1">
      <alignment horizontal="center" textRotation="90"/>
    </xf>
    <xf numFmtId="0" fontId="1" fillId="40" borderId="109" xfId="89" applyFill="1" applyBorder="1" applyAlignment="1">
      <alignment horizontal="center" vertical="center" wrapText="1"/>
    </xf>
    <xf numFmtId="0" fontId="1" fillId="40" borderId="110" xfId="89" applyFill="1" applyBorder="1"/>
    <xf numFmtId="0" fontId="54" fillId="40" borderId="71" xfId="89" applyFont="1" applyFill="1" applyBorder="1"/>
    <xf numFmtId="0" fontId="1" fillId="63" borderId="79" xfId="89" applyFill="1" applyBorder="1" applyAlignment="1">
      <alignment horizontal="center" vertical="center"/>
    </xf>
    <xf numFmtId="0" fontId="1" fillId="45" borderId="111" xfId="89" applyFill="1" applyBorder="1" applyAlignment="1">
      <alignment horizontal="center" vertical="center"/>
    </xf>
    <xf numFmtId="0" fontId="1" fillId="45" borderId="112" xfId="89" applyFill="1" applyBorder="1" applyAlignment="1">
      <alignment horizontal="center" vertical="center"/>
    </xf>
    <xf numFmtId="0" fontId="1" fillId="40" borderId="70" xfId="89" applyFill="1" applyBorder="1" applyAlignment="1">
      <alignment horizontal="center" vertical="center"/>
    </xf>
    <xf numFmtId="2" fontId="1" fillId="40" borderId="109" xfId="89" applyNumberFormat="1" applyFill="1" applyBorder="1" applyAlignment="1">
      <alignment horizontal="center" vertical="center"/>
    </xf>
    <xf numFmtId="2" fontId="1" fillId="27" borderId="0" xfId="89" applyNumberFormat="1" applyFill="1"/>
    <xf numFmtId="0" fontId="1" fillId="45" borderId="113" xfId="89" applyFill="1" applyBorder="1" applyAlignment="1">
      <alignment horizontal="center" vertical="center"/>
    </xf>
    <xf numFmtId="0" fontId="1" fillId="63" borderId="10" xfId="89" applyFill="1" applyBorder="1" applyAlignment="1">
      <alignment horizontal="center" vertical="center"/>
    </xf>
    <xf numFmtId="0" fontId="1" fillId="45" borderId="10" xfId="89" applyFill="1" applyBorder="1" applyAlignment="1">
      <alignment horizontal="center" vertical="center"/>
    </xf>
    <xf numFmtId="0" fontId="1" fillId="45" borderId="101" xfId="89" applyFill="1" applyBorder="1" applyAlignment="1">
      <alignment horizontal="center" vertical="center"/>
    </xf>
    <xf numFmtId="0" fontId="1" fillId="40" borderId="72" xfId="89" applyFill="1" applyBorder="1" applyAlignment="1">
      <alignment horizontal="center" vertical="center"/>
    </xf>
    <xf numFmtId="2" fontId="1" fillId="40" borderId="110" xfId="89" applyNumberFormat="1" applyFill="1" applyBorder="1" applyAlignment="1">
      <alignment horizontal="center" vertical="center"/>
    </xf>
    <xf numFmtId="0" fontId="1" fillId="40" borderId="114" xfId="89" applyFill="1" applyBorder="1"/>
    <xf numFmtId="0" fontId="54" fillId="40" borderId="73" xfId="89" applyFont="1" applyFill="1" applyBorder="1"/>
    <xf numFmtId="0" fontId="1" fillId="45" borderId="115" xfId="89" applyFill="1" applyBorder="1" applyAlignment="1">
      <alignment horizontal="center" vertical="center"/>
    </xf>
    <xf numFmtId="0" fontId="1" fillId="45" borderId="92" xfId="89" applyFill="1" applyBorder="1" applyAlignment="1">
      <alignment horizontal="center" vertical="center"/>
    </xf>
    <xf numFmtId="0" fontId="1" fillId="63" borderId="93" xfId="89" applyFill="1" applyBorder="1" applyAlignment="1">
      <alignment horizontal="center" vertical="center"/>
    </xf>
    <xf numFmtId="0" fontId="1" fillId="40" borderId="75" xfId="89" applyFill="1" applyBorder="1" applyAlignment="1">
      <alignment horizontal="center" vertical="center"/>
    </xf>
    <xf numFmtId="2" fontId="1" fillId="40" borderId="114" xfId="89" applyNumberFormat="1" applyFill="1" applyBorder="1" applyAlignment="1">
      <alignment horizontal="center" vertical="center"/>
    </xf>
    <xf numFmtId="0" fontId="54" fillId="40" borderId="68" xfId="89" applyFont="1" applyFill="1" applyBorder="1" applyAlignment="1">
      <alignment horizontal="center" textRotation="90"/>
    </xf>
    <xf numFmtId="0" fontId="54" fillId="40" borderId="69" xfId="89" applyFont="1" applyFill="1" applyBorder="1" applyAlignment="1">
      <alignment horizontal="center" textRotation="90"/>
    </xf>
    <xf numFmtId="0" fontId="1" fillId="61" borderId="116" xfId="89" applyFill="1" applyBorder="1" applyAlignment="1">
      <alignment horizontal="center" textRotation="90"/>
    </xf>
    <xf numFmtId="0" fontId="1" fillId="61" borderId="102" xfId="89" applyFill="1" applyBorder="1" applyAlignment="1">
      <alignment horizontal="center" textRotation="90"/>
    </xf>
    <xf numFmtId="0" fontId="1" fillId="61" borderId="103" xfId="89" applyFill="1" applyBorder="1" applyAlignment="1">
      <alignment horizontal="center" textRotation="90"/>
    </xf>
    <xf numFmtId="0" fontId="1" fillId="61" borderId="117" xfId="89" applyFill="1" applyBorder="1" applyAlignment="1">
      <alignment horizontal="center" vertical="center"/>
    </xf>
    <xf numFmtId="0" fontId="1" fillId="61" borderId="118" xfId="89" applyFill="1" applyBorder="1" applyAlignment="1">
      <alignment horizontal="center" vertical="center"/>
    </xf>
    <xf numFmtId="0" fontId="1" fillId="61" borderId="119" xfId="89" applyFill="1" applyBorder="1" applyAlignment="1">
      <alignment horizontal="center" vertical="center"/>
    </xf>
    <xf numFmtId="0" fontId="1" fillId="61" borderId="113" xfId="89" applyFill="1" applyBorder="1" applyAlignment="1">
      <alignment horizontal="center" vertical="center"/>
    </xf>
    <xf numFmtId="0" fontId="1" fillId="61" borderId="10" xfId="89" applyFill="1" applyBorder="1" applyAlignment="1">
      <alignment horizontal="center" vertical="center"/>
    </xf>
    <xf numFmtId="0" fontId="1" fillId="61" borderId="99" xfId="89" applyFill="1" applyBorder="1" applyAlignment="1">
      <alignment horizontal="center" vertical="center"/>
    </xf>
    <xf numFmtId="0" fontId="1" fillId="0" borderId="0" xfId="89"/>
    <xf numFmtId="0" fontId="1" fillId="61" borderId="0" xfId="89" applyFill="1" applyAlignment="1">
      <alignment horizontal="center" vertical="center"/>
    </xf>
    <xf numFmtId="0" fontId="1" fillId="61" borderId="115" xfId="89" applyFill="1" applyBorder="1" applyAlignment="1">
      <alignment horizontal="center" vertical="center"/>
    </xf>
    <xf numFmtId="0" fontId="1" fillId="61" borderId="92" xfId="89" applyFill="1" applyBorder="1" applyAlignment="1">
      <alignment horizontal="center" vertical="center"/>
    </xf>
    <xf numFmtId="0" fontId="1" fillId="61" borderId="120" xfId="89" applyFill="1" applyBorder="1" applyAlignment="1">
      <alignment horizontal="center" vertical="center"/>
    </xf>
    <xf numFmtId="0" fontId="54" fillId="40" borderId="108" xfId="89" applyFont="1" applyFill="1" applyBorder="1"/>
    <xf numFmtId="1" fontId="1" fillId="40" borderId="76" xfId="89" applyNumberFormat="1" applyFill="1" applyBorder="1" applyAlignment="1">
      <alignment horizontal="center" vertical="center"/>
    </xf>
    <xf numFmtId="1" fontId="1" fillId="40" borderId="77" xfId="89" applyNumberFormat="1" applyFill="1" applyBorder="1" applyAlignment="1">
      <alignment horizontal="center" vertical="center"/>
    </xf>
    <xf numFmtId="1" fontId="1" fillId="40" borderId="78" xfId="89" applyNumberFormat="1" applyFill="1" applyBorder="1" applyAlignment="1">
      <alignment horizontal="center" vertical="center"/>
    </xf>
    <xf numFmtId="0" fontId="1" fillId="40" borderId="72" xfId="89" applyFill="1" applyBorder="1"/>
    <xf numFmtId="0" fontId="54" fillId="40" borderId="114" xfId="89" applyFont="1" applyFill="1" applyBorder="1"/>
    <xf numFmtId="0" fontId="54" fillId="40" borderId="76" xfId="89" applyFont="1" applyFill="1" applyBorder="1" applyAlignment="1">
      <alignment horizontal="center" vertical="center"/>
    </xf>
    <xf numFmtId="0" fontId="54" fillId="40" borderId="77" xfId="89" applyFont="1" applyFill="1" applyBorder="1" applyAlignment="1">
      <alignment horizontal="center" vertical="center"/>
    </xf>
    <xf numFmtId="0" fontId="54" fillId="40" borderId="78" xfId="89" applyFont="1" applyFill="1" applyBorder="1" applyAlignment="1">
      <alignment horizontal="center" vertical="center"/>
    </xf>
    <xf numFmtId="0" fontId="1" fillId="40" borderId="75" xfId="89" applyFill="1" applyBorder="1"/>
    <xf numFmtId="0" fontId="54" fillId="27" borderId="68" xfId="89" applyFont="1" applyFill="1" applyBorder="1"/>
    <xf numFmtId="0" fontId="1" fillId="27" borderId="69" xfId="89" applyFill="1" applyBorder="1"/>
    <xf numFmtId="0" fontId="1" fillId="27" borderId="70" xfId="89" applyFill="1" applyBorder="1"/>
    <xf numFmtId="0" fontId="1" fillId="27" borderId="71" xfId="89" applyFill="1" applyBorder="1"/>
    <xf numFmtId="0" fontId="1" fillId="27" borderId="72" xfId="89" applyFill="1" applyBorder="1"/>
    <xf numFmtId="0" fontId="1" fillId="27" borderId="73" xfId="89" applyFill="1" applyBorder="1"/>
    <xf numFmtId="0" fontId="1" fillId="27" borderId="74" xfId="89" applyFill="1" applyBorder="1"/>
    <xf numFmtId="0" fontId="1" fillId="27" borderId="75" xfId="89" applyFill="1" applyBorder="1"/>
    <xf numFmtId="0" fontId="0" fillId="0" borderId="0" xfId="0"/>
    <xf numFmtId="0" fontId="23" fillId="48" borderId="14" xfId="0" applyFont="1" applyFill="1" applyBorder="1" applyAlignment="1">
      <alignment horizontal="center"/>
    </xf>
    <xf numFmtId="0" fontId="23" fillId="48" borderId="0" xfId="0" applyFont="1" applyFill="1" applyAlignment="1">
      <alignment horizontal="center"/>
    </xf>
    <xf numFmtId="0" fontId="23" fillId="48" borderId="15" xfId="0" applyFont="1" applyFill="1" applyBorder="1" applyAlignment="1">
      <alignment horizontal="center"/>
    </xf>
    <xf numFmtId="0" fontId="31" fillId="36" borderId="27" xfId="0" applyFont="1" applyFill="1" applyBorder="1" applyAlignment="1">
      <alignment horizontal="center" vertical="center"/>
    </xf>
    <xf numFmtId="0" fontId="31" fillId="36" borderId="28" xfId="0" applyFont="1" applyFill="1" applyBorder="1" applyAlignment="1">
      <alignment horizontal="center" vertical="center"/>
    </xf>
    <xf numFmtId="0" fontId="31" fillId="36" borderId="29" xfId="0" applyFont="1" applyFill="1" applyBorder="1" applyAlignment="1">
      <alignment horizontal="center" vertical="center"/>
    </xf>
    <xf numFmtId="0" fontId="27" fillId="43" borderId="30" xfId="0" applyFont="1" applyFill="1" applyBorder="1" applyAlignment="1">
      <alignment horizontal="center"/>
    </xf>
    <xf numFmtId="0" fontId="27" fillId="43" borderId="0" xfId="0" applyFont="1" applyFill="1" applyAlignment="1">
      <alignment horizontal="center"/>
    </xf>
    <xf numFmtId="0" fontId="27" fillId="43" borderId="31" xfId="0" applyFont="1" applyFill="1" applyBorder="1" applyAlignment="1">
      <alignment horizontal="center"/>
    </xf>
    <xf numFmtId="0" fontId="28" fillId="27" borderId="0" xfId="0" applyFont="1" applyFill="1" applyAlignment="1">
      <alignment horizontal="center"/>
    </xf>
    <xf numFmtId="0" fontId="0" fillId="27" borderId="0" xfId="0" applyFill="1"/>
    <xf numFmtId="0" fontId="31" fillId="29" borderId="11" xfId="0" applyFont="1" applyFill="1" applyBorder="1" applyAlignment="1">
      <alignment horizontal="center" vertical="center"/>
    </xf>
    <xf numFmtId="0" fontId="4" fillId="29" borderId="12" xfId="0" applyFont="1" applyFill="1" applyBorder="1" applyAlignment="1">
      <alignment horizontal="center" vertical="center"/>
    </xf>
    <xf numFmtId="0" fontId="4" fillId="29" borderId="13" xfId="0" applyFont="1" applyFill="1" applyBorder="1" applyAlignment="1">
      <alignment horizontal="center" vertical="center"/>
    </xf>
    <xf numFmtId="0" fontId="31" fillId="37" borderId="35" xfId="0" applyFont="1" applyFill="1" applyBorder="1" applyAlignment="1">
      <alignment horizontal="center" vertical="center"/>
    </xf>
    <xf numFmtId="0" fontId="31" fillId="37" borderId="36" xfId="0" applyFont="1" applyFill="1" applyBorder="1" applyAlignment="1">
      <alignment horizontal="center" vertical="center"/>
    </xf>
    <xf numFmtId="0" fontId="31" fillId="37" borderId="37" xfId="0" applyFont="1" applyFill="1" applyBorder="1" applyAlignment="1">
      <alignment horizontal="center" vertical="center"/>
    </xf>
    <xf numFmtId="0" fontId="23" fillId="52" borderId="14" xfId="0" applyFont="1" applyFill="1" applyBorder="1" applyAlignment="1">
      <alignment horizontal="center"/>
    </xf>
    <xf numFmtId="0" fontId="23" fillId="52" borderId="0" xfId="0" applyFont="1" applyFill="1" applyAlignment="1">
      <alignment horizontal="center"/>
    </xf>
    <xf numFmtId="0" fontId="23" fillId="52" borderId="15" xfId="0" applyFont="1" applyFill="1" applyBorder="1" applyAlignment="1">
      <alignment horizontal="center"/>
    </xf>
    <xf numFmtId="0" fontId="23" fillId="47" borderId="14" xfId="0" applyFont="1" applyFill="1" applyBorder="1" applyAlignment="1">
      <alignment horizontal="center"/>
    </xf>
    <xf numFmtId="0" fontId="23" fillId="47" borderId="0" xfId="0" applyFont="1" applyFill="1" applyAlignment="1">
      <alignment horizontal="center"/>
    </xf>
    <xf numFmtId="0" fontId="23" fillId="47" borderId="15" xfId="0" applyFont="1" applyFill="1" applyBorder="1" applyAlignment="1">
      <alignment horizontal="center"/>
    </xf>
    <xf numFmtId="0" fontId="23" fillId="42" borderId="38" xfId="0" applyFont="1" applyFill="1" applyBorder="1" applyAlignment="1">
      <alignment horizontal="center"/>
    </xf>
    <xf numFmtId="0" fontId="23" fillId="42" borderId="0" xfId="0" applyFont="1" applyFill="1" applyAlignment="1">
      <alignment horizontal="center"/>
    </xf>
    <xf numFmtId="0" fontId="23" fillId="42" borderId="39" xfId="0" applyFont="1" applyFill="1" applyBorder="1" applyAlignment="1">
      <alignment horizontal="center"/>
    </xf>
    <xf numFmtId="0" fontId="31" fillId="32" borderId="19" xfId="0" applyFont="1" applyFill="1" applyBorder="1" applyAlignment="1">
      <alignment horizontal="center" vertical="center"/>
    </xf>
    <xf numFmtId="0" fontId="31" fillId="32" borderId="20" xfId="0" applyFont="1" applyFill="1" applyBorder="1" applyAlignment="1">
      <alignment horizontal="center" vertical="center"/>
    </xf>
    <xf numFmtId="0" fontId="31" fillId="32" borderId="21" xfId="0" applyFont="1" applyFill="1" applyBorder="1" applyAlignment="1">
      <alignment horizontal="center" vertical="center"/>
    </xf>
    <xf numFmtId="0" fontId="23" fillId="44" borderId="22" xfId="0" applyFont="1" applyFill="1" applyBorder="1" applyAlignment="1">
      <alignment horizontal="center"/>
    </xf>
    <xf numFmtId="0" fontId="23" fillId="44" borderId="0" xfId="0" applyFont="1" applyFill="1" applyAlignment="1">
      <alignment horizontal="center"/>
    </xf>
    <xf numFmtId="0" fontId="23" fillId="44" borderId="23" xfId="0" applyFont="1" applyFill="1" applyBorder="1" applyAlignment="1">
      <alignment horizontal="center"/>
    </xf>
    <xf numFmtId="0" fontId="28" fillId="27" borderId="0" xfId="0" applyFont="1" applyFill="1" applyAlignment="1">
      <alignment horizontal="center" wrapText="1"/>
    </xf>
    <xf numFmtId="0" fontId="0" fillId="27" borderId="0" xfId="0" applyFill="1" applyAlignment="1">
      <alignment wrapText="1"/>
    </xf>
    <xf numFmtId="0" fontId="3" fillId="40" borderId="104" xfId="49" applyFill="1" applyBorder="1" applyAlignment="1">
      <alignment horizontal="left" vertical="center" wrapText="1"/>
    </xf>
    <xf numFmtId="0" fontId="3" fillId="40" borderId="105" xfId="49" applyFill="1" applyBorder="1" applyAlignment="1">
      <alignment horizontal="left" vertical="center" wrapText="1"/>
    </xf>
    <xf numFmtId="0" fontId="3" fillId="40" borderId="106" xfId="49" applyFill="1" applyBorder="1" applyAlignment="1">
      <alignment horizontal="left" vertical="center" wrapText="1"/>
    </xf>
    <xf numFmtId="0" fontId="31" fillId="39" borderId="59" xfId="0" applyFont="1" applyFill="1" applyBorder="1" applyAlignment="1">
      <alignment horizontal="center" vertical="center"/>
    </xf>
    <xf numFmtId="0" fontId="31" fillId="0" borderId="60" xfId="0" applyFont="1" applyBorder="1" applyAlignment="1">
      <alignment horizontal="center" vertical="center"/>
    </xf>
    <xf numFmtId="0" fontId="31" fillId="0" borderId="61" xfId="0" applyFont="1" applyBorder="1" applyAlignment="1">
      <alignment horizontal="center" vertical="center"/>
    </xf>
    <xf numFmtId="0" fontId="28" fillId="0" borderId="0" xfId="0" applyFont="1" applyAlignment="1">
      <alignment horizontal="center"/>
    </xf>
    <xf numFmtId="0" fontId="0" fillId="0" borderId="0" xfId="0"/>
    <xf numFmtId="0" fontId="31" fillId="32" borderId="43" xfId="0" applyFont="1" applyFill="1" applyBorder="1" applyAlignment="1">
      <alignment horizontal="center" vertical="center"/>
    </xf>
    <xf numFmtId="0" fontId="4" fillId="32" borderId="44" xfId="0" applyFont="1" applyFill="1" applyBorder="1" applyAlignment="1">
      <alignment horizontal="center" vertical="center"/>
    </xf>
    <xf numFmtId="0" fontId="4" fillId="32" borderId="45" xfId="0" applyFont="1" applyFill="1" applyBorder="1" applyAlignment="1">
      <alignment horizontal="center" vertical="center"/>
    </xf>
    <xf numFmtId="0" fontId="4" fillId="36" borderId="28" xfId="0" applyFont="1" applyFill="1" applyBorder="1" applyAlignment="1">
      <alignment horizontal="center" vertical="center"/>
    </xf>
    <xf numFmtId="0" fontId="4" fillId="36" borderId="29" xfId="0" applyFont="1" applyFill="1" applyBorder="1" applyAlignment="1">
      <alignment horizontal="center" vertical="center"/>
    </xf>
    <xf numFmtId="0" fontId="4" fillId="37" borderId="36" xfId="0" applyFont="1" applyFill="1" applyBorder="1" applyAlignment="1">
      <alignment horizontal="center" vertical="center"/>
    </xf>
    <xf numFmtId="0" fontId="4" fillId="37" borderId="37" xfId="0" applyFont="1" applyFill="1" applyBorder="1" applyAlignment="1">
      <alignment horizontal="center" vertical="center"/>
    </xf>
    <xf numFmtId="0" fontId="23" fillId="47" borderId="38" xfId="0" applyFont="1" applyFill="1" applyBorder="1" applyAlignment="1">
      <alignment horizontal="center" vertical="center"/>
    </xf>
    <xf numFmtId="0" fontId="23" fillId="47" borderId="0" xfId="0" applyFont="1" applyFill="1" applyAlignment="1">
      <alignment horizontal="center" vertical="center"/>
    </xf>
    <xf numFmtId="0" fontId="23" fillId="47" borderId="39" xfId="0" applyFont="1" applyFill="1" applyBorder="1" applyAlignment="1">
      <alignment horizontal="center" vertical="center"/>
    </xf>
    <xf numFmtId="0" fontId="23" fillId="42" borderId="38" xfId="0" applyFont="1" applyFill="1" applyBorder="1" applyAlignment="1">
      <alignment horizontal="center" vertical="center"/>
    </xf>
    <xf numFmtId="0" fontId="23" fillId="42" borderId="0" xfId="0" applyFont="1" applyFill="1" applyAlignment="1">
      <alignment horizontal="center" vertical="center"/>
    </xf>
    <xf numFmtId="0" fontId="23" fillId="42" borderId="39" xfId="0" applyFont="1" applyFill="1" applyBorder="1" applyAlignment="1">
      <alignment horizontal="center" vertical="center"/>
    </xf>
    <xf numFmtId="0" fontId="23" fillId="44" borderId="46" xfId="0" applyFont="1" applyFill="1" applyBorder="1" applyAlignment="1">
      <alignment horizontal="center" vertical="center"/>
    </xf>
    <xf numFmtId="0" fontId="23" fillId="44" borderId="0" xfId="0" applyFont="1" applyFill="1" applyAlignment="1">
      <alignment horizontal="center" vertical="center"/>
    </xf>
    <xf numFmtId="0" fontId="23" fillId="44" borderId="47" xfId="0" applyFont="1" applyFill="1" applyBorder="1" applyAlignment="1">
      <alignment horizontal="center" vertical="center"/>
    </xf>
    <xf numFmtId="0" fontId="23" fillId="48" borderId="54" xfId="0" applyFont="1" applyFill="1" applyBorder="1" applyAlignment="1">
      <alignment horizontal="center" vertical="center"/>
    </xf>
    <xf numFmtId="0" fontId="23" fillId="48" borderId="0" xfId="0" applyFont="1" applyFill="1" applyAlignment="1">
      <alignment horizontal="center" vertical="center"/>
    </xf>
    <xf numFmtId="0" fontId="23" fillId="48" borderId="55" xfId="0" applyFont="1" applyFill="1" applyBorder="1" applyAlignment="1">
      <alignment horizontal="center" vertical="center"/>
    </xf>
    <xf numFmtId="0" fontId="23" fillId="45" borderId="62" xfId="0" applyFont="1" applyFill="1" applyBorder="1" applyAlignment="1">
      <alignment horizontal="center"/>
    </xf>
    <xf numFmtId="0" fontId="23" fillId="45" borderId="0" xfId="0" applyFont="1" applyFill="1" applyAlignment="1">
      <alignment horizontal="center"/>
    </xf>
    <xf numFmtId="0" fontId="23" fillId="45" borderId="63" xfId="0" applyFont="1" applyFill="1" applyBorder="1" applyAlignment="1">
      <alignment horizontal="center"/>
    </xf>
    <xf numFmtId="0" fontId="23" fillId="41" borderId="14" xfId="0" applyFont="1" applyFill="1" applyBorder="1" applyAlignment="1">
      <alignment horizontal="center" vertical="center"/>
    </xf>
    <xf numFmtId="0" fontId="23" fillId="41" borderId="0" xfId="0" applyFont="1" applyFill="1" applyAlignment="1">
      <alignment horizontal="center" vertical="center"/>
    </xf>
    <xf numFmtId="0" fontId="23" fillId="41" borderId="15" xfId="0" applyFont="1" applyFill="1" applyBorder="1" applyAlignment="1">
      <alignment horizontal="center" vertical="center"/>
    </xf>
    <xf numFmtId="0" fontId="23" fillId="28" borderId="54" xfId="0" applyFont="1" applyFill="1" applyBorder="1" applyAlignment="1">
      <alignment horizontal="center" vertical="center"/>
    </xf>
    <xf numFmtId="0" fontId="23" fillId="28" borderId="0" xfId="0" applyFont="1" applyFill="1" applyAlignment="1">
      <alignment horizontal="center" vertical="center"/>
    </xf>
    <xf numFmtId="0" fontId="23" fillId="28" borderId="55" xfId="0" applyFont="1" applyFill="1" applyBorder="1" applyAlignment="1">
      <alignment horizontal="center" vertical="center"/>
    </xf>
    <xf numFmtId="0" fontId="23" fillId="43" borderId="30" xfId="0" applyFont="1" applyFill="1" applyBorder="1" applyAlignment="1">
      <alignment horizontal="center" vertical="center"/>
    </xf>
    <xf numFmtId="0" fontId="23" fillId="43" borderId="0" xfId="0" applyFont="1" applyFill="1" applyAlignment="1">
      <alignment horizontal="center" vertical="center"/>
    </xf>
    <xf numFmtId="0" fontId="23" fillId="43" borderId="31" xfId="0" applyFont="1" applyFill="1" applyBorder="1" applyAlignment="1">
      <alignment horizontal="center" vertical="center"/>
    </xf>
    <xf numFmtId="0" fontId="31" fillId="38" borderId="51" xfId="0" applyFont="1" applyFill="1" applyBorder="1" applyAlignment="1">
      <alignment horizontal="center" vertical="center"/>
    </xf>
    <xf numFmtId="0" fontId="31" fillId="38" borderId="52" xfId="0" applyFont="1" applyFill="1" applyBorder="1" applyAlignment="1">
      <alignment horizontal="center" vertical="center"/>
    </xf>
    <xf numFmtId="0" fontId="31" fillId="38" borderId="53" xfId="0" applyFont="1" applyFill="1" applyBorder="1" applyAlignment="1">
      <alignment horizontal="center" vertical="center"/>
    </xf>
    <xf numFmtId="0" fontId="62" fillId="40" borderId="109" xfId="89" applyFont="1" applyFill="1" applyBorder="1" applyAlignment="1">
      <alignment horizontal="center" vertical="center" wrapText="1"/>
    </xf>
    <xf numFmtId="0" fontId="62" fillId="40" borderId="114" xfId="89" applyFont="1" applyFill="1" applyBorder="1" applyAlignment="1">
      <alignment horizontal="center" vertical="center" wrapText="1"/>
    </xf>
    <xf numFmtId="0" fontId="1" fillId="40" borderId="109" xfId="89" applyFill="1" applyBorder="1" applyAlignment="1">
      <alignment horizontal="right" vertical="center" wrapText="1"/>
    </xf>
    <xf numFmtId="0" fontId="1" fillId="40" borderId="73" xfId="89" applyFill="1" applyBorder="1" applyAlignment="1">
      <alignment horizontal="right" vertical="center"/>
    </xf>
    <xf numFmtId="0" fontId="1" fillId="40" borderId="109" xfId="89" applyFill="1" applyBorder="1" applyAlignment="1">
      <alignment horizontal="center" vertical="center" wrapText="1"/>
    </xf>
    <xf numFmtId="0" fontId="1" fillId="40" borderId="72" xfId="89" applyFill="1" applyBorder="1" applyAlignment="1">
      <alignment horizontal="center" vertical="center" wrapText="1"/>
    </xf>
    <xf numFmtId="0" fontId="1" fillId="40" borderId="109" xfId="89" applyFill="1" applyBorder="1" applyAlignment="1">
      <alignment horizontal="center" vertical="center" textRotation="90"/>
    </xf>
    <xf numFmtId="0" fontId="1" fillId="40" borderId="110" xfId="89" applyFill="1" applyBorder="1" applyAlignment="1">
      <alignment horizontal="center" vertical="center" textRotation="90"/>
    </xf>
    <xf numFmtId="0" fontId="1" fillId="40" borderId="114" xfId="89" applyFill="1" applyBorder="1" applyAlignment="1">
      <alignment horizontal="center" vertical="center" textRotation="90"/>
    </xf>
    <xf numFmtId="0" fontId="34" fillId="51" borderId="99" xfId="0" applyFont="1" applyFill="1" applyBorder="1" applyAlignment="1">
      <alignment horizontal="center"/>
    </xf>
    <xf numFmtId="0" fontId="34" fillId="51" borderId="100" xfId="0" applyFont="1" applyFill="1" applyBorder="1" applyAlignment="1">
      <alignment horizontal="center"/>
    </xf>
    <xf numFmtId="0" fontId="40" fillId="52" borderId="86" xfId="43" applyFont="1" applyFill="1" applyBorder="1" applyAlignment="1">
      <alignment horizontal="center" vertical="center" wrapText="1"/>
    </xf>
    <xf numFmtId="0" fontId="40" fillId="52" borderId="91" xfId="43" applyFont="1" applyFill="1" applyBorder="1" applyAlignment="1">
      <alignment horizontal="center" vertical="center" wrapText="1"/>
    </xf>
    <xf numFmtId="0" fontId="41" fillId="52" borderId="87" xfId="43" applyFont="1" applyFill="1" applyBorder="1" applyAlignment="1">
      <alignment horizontal="center" vertical="center" wrapText="1"/>
    </xf>
    <xf numFmtId="0" fontId="41" fillId="52" borderId="88" xfId="43" applyFont="1" applyFill="1" applyBorder="1" applyAlignment="1">
      <alignment horizontal="center" vertical="center" wrapText="1"/>
    </xf>
    <xf numFmtId="0" fontId="41" fillId="52" borderId="89" xfId="43" applyFont="1" applyFill="1" applyBorder="1" applyAlignment="1">
      <alignment horizontal="center" vertical="center" wrapText="1"/>
    </xf>
    <xf numFmtId="0" fontId="63" fillId="0" borderId="0" xfId="0" applyFont="1" applyAlignment="1">
      <alignment horizontal="center"/>
    </xf>
    <xf numFmtId="0" fontId="34" fillId="51" borderId="10" xfId="0" applyFont="1" applyFill="1" applyBorder="1" applyAlignment="1">
      <alignment horizontal="center"/>
    </xf>
    <xf numFmtId="0" fontId="40" fillId="52" borderId="85" xfId="43" applyFont="1" applyFill="1" applyBorder="1" applyAlignment="1">
      <alignment horizontal="center" vertical="center" wrapText="1"/>
    </xf>
    <xf numFmtId="0" fontId="40" fillId="52" borderId="90" xfId="43" applyFont="1" applyFill="1" applyBorder="1" applyAlignment="1">
      <alignment horizontal="center" vertical="center" wrapText="1"/>
    </xf>
  </cellXfs>
  <cellStyles count="90">
    <cellStyle name="?" xfId="55"/>
    <cellStyle name="??" xfId="56"/>
    <cellStyle name="?? 1" xfId="57"/>
    <cellStyle name="?? 2" xfId="58"/>
    <cellStyle name="?? 3" xfId="59"/>
    <cellStyle name="?? 4" xfId="60"/>
    <cellStyle name="????" xfId="61"/>
    <cellStyle name="?????" xfId="62"/>
    <cellStyle name="?????? 1" xfId="63"/>
    <cellStyle name="?????? 2" xfId="64"/>
    <cellStyle name="?????? 3" xfId="65"/>
    <cellStyle name="?????? 4" xfId="66"/>
    <cellStyle name="?????? 5" xfId="67"/>
    <cellStyle name="?????? 6" xfId="68"/>
    <cellStyle name="20% - ?????? 1" xfId="69"/>
    <cellStyle name="20% - ?????? 2" xfId="70"/>
    <cellStyle name="20% - ?????? 3" xfId="71"/>
    <cellStyle name="20% - ?????? 4" xfId="72"/>
    <cellStyle name="20% - ?????? 5" xfId="73"/>
    <cellStyle name="20% - ?????? 6" xfId="74"/>
    <cellStyle name="20% - 强调文字颜色 1" xfId="1"/>
    <cellStyle name="20% - 强调文字颜色 2" xfId="2"/>
    <cellStyle name="20% - 强调文字颜色 3" xfId="3"/>
    <cellStyle name="20% - 强调文字颜色 4" xfId="4"/>
    <cellStyle name="20% - 强调文字颜色 5" xfId="5"/>
    <cellStyle name="20% - 强调文字颜色 6" xfId="6"/>
    <cellStyle name="40% - ?????? 1" xfId="75"/>
    <cellStyle name="40% - ?????? 2" xfId="76"/>
    <cellStyle name="40% - ?????? 3" xfId="77"/>
    <cellStyle name="40% - ?????? 4" xfId="78"/>
    <cellStyle name="40% - ?????? 5" xfId="79"/>
    <cellStyle name="40% - ?????? 6" xfId="80"/>
    <cellStyle name="40% - 强调文字颜色 1" xfId="7"/>
    <cellStyle name="40% - 强调文字颜色 2" xfId="8"/>
    <cellStyle name="40% - 强调文字颜色 3" xfId="9"/>
    <cellStyle name="40% - 强调文字颜色 4" xfId="10"/>
    <cellStyle name="40% - 强调文字颜色 5" xfId="11"/>
    <cellStyle name="40% - 强调文字颜色 6" xfId="12"/>
    <cellStyle name="60% - ?????? 1" xfId="81"/>
    <cellStyle name="60% - ?????? 2" xfId="82"/>
    <cellStyle name="60% - ?????? 3" xfId="83"/>
    <cellStyle name="60% - ?????? 4" xfId="84"/>
    <cellStyle name="60% - ?????? 5" xfId="85"/>
    <cellStyle name="60% - ?????? 6" xfId="86"/>
    <cellStyle name="60% - 强调文字颜色 1" xfId="13"/>
    <cellStyle name="60% - 强调文字颜色 2" xfId="14"/>
    <cellStyle name="60% - 强调文字颜色 3" xfId="15"/>
    <cellStyle name="60% - 强调文字颜色 4" xfId="16"/>
    <cellStyle name="60% - 强调文字颜色 5" xfId="17"/>
    <cellStyle name="60% - 强调文字颜色 6" xfId="18"/>
    <cellStyle name="Accent1 2" xfId="48"/>
    <cellStyle name="Accent3 2" xfId="46"/>
    <cellStyle name="Accent4 2" xfId="45"/>
    <cellStyle name="Accent5 2" xfId="47"/>
    <cellStyle name="Normal" xfId="0" builtinId="0"/>
    <cellStyle name="Normal 2" xfId="44"/>
    <cellStyle name="Normal 2 2" xfId="52"/>
    <cellStyle name="Normal 2 2 2" xfId="53"/>
    <cellStyle name="Normal 2 2_Db" xfId="87"/>
    <cellStyle name="Normal 2_Db" xfId="50"/>
    <cellStyle name="Normal 3" xfId="43"/>
    <cellStyle name="Normal 4" xfId="49"/>
    <cellStyle name="Normal 4 2" xfId="54"/>
    <cellStyle name="Normal 4 2 2" xfId="89"/>
    <cellStyle name="Normal 4_Db" xfId="88"/>
    <cellStyle name="Normal_Db" xfId="51"/>
    <cellStyle name="Percent" xfId="19" builtinId="5"/>
    <cellStyle name="好" xfId="20"/>
    <cellStyle name="差" xfId="21"/>
    <cellStyle name="强调文字颜色 1" xfId="22"/>
    <cellStyle name="强调文字颜色 2" xfId="23"/>
    <cellStyle name="强调文字颜色 3" xfId="24"/>
    <cellStyle name="强调文字颜色 4" xfId="25"/>
    <cellStyle name="强调文字颜色 5" xfId="26"/>
    <cellStyle name="强调文字颜色 6" xfId="27"/>
    <cellStyle name="标题" xfId="28"/>
    <cellStyle name="标题 1" xfId="29"/>
    <cellStyle name="标题 2" xfId="30"/>
    <cellStyle name="标题 3" xfId="31"/>
    <cellStyle name="标题 4" xfId="32"/>
    <cellStyle name="检查单元格" xfId="33"/>
    <cellStyle name="汇总" xfId="34"/>
    <cellStyle name="注释" xfId="35"/>
    <cellStyle name="解释性文本" xfId="36"/>
    <cellStyle name="警告文本" xfId="37"/>
    <cellStyle name="计算" xfId="38"/>
    <cellStyle name="输入" xfId="39"/>
    <cellStyle name="输出" xfId="40"/>
    <cellStyle name="适中" xfId="41"/>
    <cellStyle name="链接单元格" xfId="42"/>
  </cellStyles>
  <dxfs count="0"/>
  <tableStyles count="0" defaultTableStyle="TableStyleMedium9" defaultPivotStyle="PivotStyleLight16"/>
  <colors>
    <mruColors>
      <color rgb="FF538DD5"/>
      <color rgb="FFFFFF99"/>
      <color rgb="FFFFFF66"/>
      <color rgb="FF95B3D7"/>
      <color rgb="FFDCE6F1"/>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Evolution of Disturbance Torque in a Orbit</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Magnetique Torque</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c:v>
              </c:pt>
              <c:pt idx="2">
                <c:v>2</c:v>
              </c:pt>
              <c:pt idx="3">
                <c:v>3</c:v>
              </c:pt>
              <c:pt idx="4">
                <c:v>4</c:v>
              </c:pt>
              <c:pt idx="5">
                <c:v>5</c:v>
              </c:pt>
              <c:pt idx="6">
                <c:v>6</c:v>
              </c:pt>
              <c:pt idx="7">
                <c:v>7</c:v>
              </c:pt>
              <c:pt idx="8">
                <c:v>7</c:v>
              </c:pt>
              <c:pt idx="9">
                <c:v>8</c:v>
              </c:pt>
              <c:pt idx="10">
                <c:v>9</c:v>
              </c:pt>
              <c:pt idx="11">
                <c:v>10</c:v>
              </c:pt>
              <c:pt idx="12">
                <c:v>11</c:v>
              </c:pt>
              <c:pt idx="13">
                <c:v>12</c:v>
              </c:pt>
              <c:pt idx="14">
                <c:v>13</c:v>
              </c:pt>
              <c:pt idx="15">
                <c:v>14</c:v>
              </c:pt>
              <c:pt idx="16">
                <c:v>15</c:v>
              </c:pt>
              <c:pt idx="17">
                <c:v>16</c:v>
              </c:pt>
              <c:pt idx="18">
                <c:v>17</c:v>
              </c:pt>
              <c:pt idx="19">
                <c:v>18</c:v>
              </c:pt>
              <c:pt idx="20">
                <c:v>19</c:v>
              </c:pt>
              <c:pt idx="21">
                <c:v>20</c:v>
              </c:pt>
              <c:pt idx="22">
                <c:v>21</c:v>
              </c:pt>
              <c:pt idx="23">
                <c:v>21</c:v>
              </c:pt>
              <c:pt idx="24">
                <c:v>22</c:v>
              </c:pt>
              <c:pt idx="25">
                <c:v>23</c:v>
              </c:pt>
              <c:pt idx="26">
                <c:v>24</c:v>
              </c:pt>
              <c:pt idx="27">
                <c:v>25</c:v>
              </c:pt>
              <c:pt idx="28">
                <c:v>26</c:v>
              </c:pt>
              <c:pt idx="29">
                <c:v>27</c:v>
              </c:pt>
              <c:pt idx="30">
                <c:v>28</c:v>
              </c:pt>
              <c:pt idx="31">
                <c:v>29</c:v>
              </c:pt>
              <c:pt idx="32">
                <c:v>30</c:v>
              </c:pt>
              <c:pt idx="33">
                <c:v>31</c:v>
              </c:pt>
              <c:pt idx="34">
                <c:v>32</c:v>
              </c:pt>
              <c:pt idx="35">
                <c:v>33</c:v>
              </c:pt>
              <c:pt idx="36">
                <c:v>34</c:v>
              </c:pt>
              <c:pt idx="37">
                <c:v>35</c:v>
              </c:pt>
              <c:pt idx="38">
                <c:v>36</c:v>
              </c:pt>
              <c:pt idx="39">
                <c:v>36</c:v>
              </c:pt>
              <c:pt idx="40">
                <c:v>37</c:v>
              </c:pt>
              <c:pt idx="41">
                <c:v>38</c:v>
              </c:pt>
              <c:pt idx="42">
                <c:v>39</c:v>
              </c:pt>
              <c:pt idx="43">
                <c:v>40</c:v>
              </c:pt>
              <c:pt idx="44">
                <c:v>41</c:v>
              </c:pt>
              <c:pt idx="45">
                <c:v>42</c:v>
              </c:pt>
              <c:pt idx="46">
                <c:v>43</c:v>
              </c:pt>
              <c:pt idx="47">
                <c:v>44</c:v>
              </c:pt>
              <c:pt idx="48">
                <c:v>45</c:v>
              </c:pt>
              <c:pt idx="49">
                <c:v>46</c:v>
              </c:pt>
              <c:pt idx="50">
                <c:v>46</c:v>
              </c:pt>
              <c:pt idx="51">
                <c:v>47</c:v>
              </c:pt>
              <c:pt idx="52">
                <c:v>48</c:v>
              </c:pt>
              <c:pt idx="53">
                <c:v>49</c:v>
              </c:pt>
              <c:pt idx="54">
                <c:v>50</c:v>
              </c:pt>
              <c:pt idx="55">
                <c:v>51</c:v>
              </c:pt>
              <c:pt idx="56">
                <c:v>52</c:v>
              </c:pt>
              <c:pt idx="57">
                <c:v>53</c:v>
              </c:pt>
              <c:pt idx="58">
                <c:v>54</c:v>
              </c:pt>
              <c:pt idx="59">
                <c:v>55</c:v>
              </c:pt>
              <c:pt idx="60">
                <c:v>56</c:v>
              </c:pt>
              <c:pt idx="61">
                <c:v>56</c:v>
              </c:pt>
              <c:pt idx="62">
                <c:v>57</c:v>
              </c:pt>
              <c:pt idx="63">
                <c:v>58</c:v>
              </c:pt>
              <c:pt idx="64">
                <c:v>59</c:v>
              </c:pt>
              <c:pt idx="65">
                <c:v>60</c:v>
              </c:pt>
              <c:pt idx="66">
                <c:v>61</c:v>
              </c:pt>
              <c:pt idx="67">
                <c:v>62</c:v>
              </c:pt>
              <c:pt idx="68">
                <c:v>63</c:v>
              </c:pt>
              <c:pt idx="69">
                <c:v>64</c:v>
              </c:pt>
              <c:pt idx="70">
                <c:v>65</c:v>
              </c:pt>
              <c:pt idx="71">
                <c:v>66</c:v>
              </c:pt>
              <c:pt idx="72">
                <c:v>67</c:v>
              </c:pt>
              <c:pt idx="73">
                <c:v>68</c:v>
              </c:pt>
              <c:pt idx="74">
                <c:v>69</c:v>
              </c:pt>
              <c:pt idx="75">
                <c:v>70</c:v>
              </c:pt>
              <c:pt idx="76">
                <c:v>70</c:v>
              </c:pt>
              <c:pt idx="77">
                <c:v>71</c:v>
              </c:pt>
              <c:pt idx="78">
                <c:v>72</c:v>
              </c:pt>
              <c:pt idx="79">
                <c:v>73</c:v>
              </c:pt>
              <c:pt idx="80">
                <c:v>74</c:v>
              </c:pt>
              <c:pt idx="81">
                <c:v>75</c:v>
              </c:pt>
              <c:pt idx="82">
                <c:v>76</c:v>
              </c:pt>
              <c:pt idx="83">
                <c:v>77</c:v>
              </c:pt>
              <c:pt idx="84">
                <c:v>78</c:v>
              </c:pt>
              <c:pt idx="85">
                <c:v>79</c:v>
              </c:pt>
              <c:pt idx="86">
                <c:v>80</c:v>
              </c:pt>
              <c:pt idx="87">
                <c:v>81</c:v>
              </c:pt>
              <c:pt idx="88">
                <c:v>82</c:v>
              </c:pt>
              <c:pt idx="89">
                <c:v>83</c:v>
              </c:pt>
              <c:pt idx="90">
                <c:v>84</c:v>
              </c:pt>
              <c:pt idx="91">
                <c:v>84</c:v>
              </c:pt>
              <c:pt idx="92">
                <c:v>85</c:v>
              </c:pt>
              <c:pt idx="93">
                <c:v>86</c:v>
              </c:pt>
              <c:pt idx="94">
                <c:v>87</c:v>
              </c:pt>
              <c:pt idx="95">
                <c:v>88</c:v>
              </c:pt>
              <c:pt idx="96">
                <c:v>89</c:v>
              </c:pt>
              <c:pt idx="97">
                <c:v>90</c:v>
              </c:pt>
              <c:pt idx="98">
                <c:v>91</c:v>
              </c:pt>
              <c:pt idx="99">
                <c:v>92</c:v>
              </c:pt>
            </c:numLit>
          </c:xVal>
          <c:yVal>
            <c:numLit>
              <c:formatCode>General</c:formatCode>
              <c:ptCount val="100"/>
              <c:pt idx="0">
                <c:v>2.4996071454475538E-5</c:v>
              </c:pt>
              <c:pt idx="1">
                <c:v>2.5036179506288088E-5</c:v>
              </c:pt>
              <c:pt idx="2">
                <c:v>2.5155478862595534E-5</c:v>
              </c:pt>
              <c:pt idx="3">
                <c:v>2.5350953371181564E-5</c:v>
              </c:pt>
              <c:pt idx="4">
                <c:v>2.561776238049544E-5</c:v>
              </c:pt>
              <c:pt idx="5">
                <c:v>2.5949494491848502E-5</c:v>
              </c:pt>
              <c:pt idx="6">
                <c:v>2.633847775080981E-5</c:v>
              </c:pt>
              <c:pt idx="7">
                <c:v>2.6776113492149952E-5</c:v>
              </c:pt>
              <c:pt idx="8">
                <c:v>2.7253204496177802E-5</c:v>
              </c:pt>
              <c:pt idx="9">
                <c:v>2.7760255308498411E-5</c:v>
              </c:pt>
              <c:pt idx="10">
                <c:v>2.8287731115752563E-5</c:v>
              </c:pt>
              <c:pt idx="11">
                <c:v>2.8826269484182695E-5</c:v>
              </c:pt>
              <c:pt idx="12">
                <c:v>2.9366845401724523E-5</c:v>
              </c:pt>
              <c:pt idx="13">
                <c:v>2.9900894063065073E-5</c:v>
              </c:pt>
              <c:pt idx="14">
                <c:v>3.0420397901198776E-5</c:v>
              </c:pt>
              <c:pt idx="15">
                <c:v>3.091794496743237E-5</c:v>
              </c:pt>
              <c:pt idx="16">
                <c:v>3.1386765411295381E-5</c:v>
              </c:pt>
              <c:pt idx="17">
                <c:v>3.1820751952227004E-5</c:v>
              </c:pt>
              <c:pt idx="18">
                <c:v>3.2214469184098962E-5</c:v>
              </c:pt>
              <c:pt idx="19">
                <c:v>3.256315551119773E-5</c:v>
              </c:pt>
              <c:pt idx="20">
                <c:v>3.2862720586773849E-5</c:v>
              </c:pt>
              <c:pt idx="21">
                <c:v>3.3109740355531544E-5</c:v>
              </c:pt>
              <c:pt idx="22">
                <c:v>3.3301451193734005E-5</c:v>
              </c:pt>
              <c:pt idx="23">
                <c:v>3.3435744178794733E-5</c:v>
              </c:pt>
              <c:pt idx="24">
                <c:v>3.351116017948026E-5</c:v>
              </c:pt>
              <c:pt idx="25">
                <c:v>3.3526886211340257E-5</c:v>
              </c:pt>
              <c:pt idx="26">
                <c:v>3.3482753324151434E-5</c:v>
              </c:pt>
              <c:pt idx="27">
                <c:v>3.3379236155834281E-5</c:v>
              </c:pt>
              <c:pt idx="28">
                <c:v>3.3217454179527013E-5</c:v>
              </c:pt>
              <c:pt idx="29">
                <c:v>3.2999174567753712E-5</c:v>
              </c:pt>
              <c:pt idx="30">
                <c:v>3.2726816480687379E-5</c:v>
              </c:pt>
              <c:pt idx="31">
                <c:v>3.2403456434306977E-5</c:v>
              </c:pt>
              <c:pt idx="32">
                <c:v>3.2032834196846739E-5</c:v>
              </c:pt>
              <c:pt idx="33">
                <c:v>3.1619358373983562E-5</c:v>
              </c:pt>
              <c:pt idx="34">
                <c:v>3.1168110448304599E-5</c:v>
              </c:pt>
              <c:pt idx="35">
                <c:v>3.0684845510278686E-5</c:v>
              </c:pt>
              <c:pt idx="36">
                <c:v>3.0175987234412473E-5</c:v>
              </c:pt>
              <c:pt idx="37">
                <c:v>2.9648613807219178E-5</c:v>
              </c:pt>
              <c:pt idx="38">
                <c:v>2.9110430522948818E-5</c:v>
              </c:pt>
              <c:pt idx="39">
                <c:v>2.8569723698323908E-5</c:v>
              </c:pt>
              <c:pt idx="40">
                <c:v>2.803528956583875E-5</c:v>
              </c:pt>
              <c:pt idx="41">
                <c:v>2.7516331139925449E-5</c:v>
              </c:pt>
              <c:pt idx="42">
                <c:v>2.7022316089041612E-5</c:v>
              </c:pt>
              <c:pt idx="43">
                <c:v>2.6562789875668992E-5</c:v>
              </c:pt>
              <c:pt idx="44">
                <c:v>2.6147141360809301E-5</c:v>
              </c:pt>
              <c:pt idx="45">
                <c:v>2.5784323084337627E-5</c:v>
              </c:pt>
              <c:pt idx="46">
                <c:v>2.5482535501054823E-5</c:v>
              </c:pt>
              <c:pt idx="47">
                <c:v>2.5248892861602801E-5</c:v>
              </c:pt>
              <c:pt idx="48">
                <c:v>2.5089096615492103E-5</c:v>
              </c:pt>
              <c:pt idx="49">
                <c:v>2.5007147925749002E-5</c:v>
              </c:pt>
              <c:pt idx="50">
                <c:v>2.500513177781555E-5</c:v>
              </c:pt>
              <c:pt idx="51">
                <c:v>2.508309975467769E-5</c:v>
              </c:pt>
              <c:pt idx="52">
                <c:v>2.5239067095196983E-5</c:v>
              </c:pt>
              <c:pt idx="53">
                <c:v>2.5469124435647079E-5</c:v>
              </c:pt>
              <c:pt idx="54">
                <c:v>2.5767649318693732E-5</c:v>
              </c:pt>
              <c:pt idx="55">
                <c:v>2.612759084001966E-5</c:v>
              </c:pt>
              <c:pt idx="56">
                <c:v>2.6540795065250229E-5</c:v>
              </c:pt>
              <c:pt idx="57">
                <c:v>2.6998339450295934E-5</c:v>
              </c:pt>
              <c:pt idx="58">
                <c:v>2.7490850021392665E-5</c:v>
              </c:pt>
              <c:pt idx="59">
                <c:v>2.8008783192614034E-5</c:v>
              </c:pt>
              <c:pt idx="60">
                <c:v>2.8542662541207622E-5</c:v>
              </c:pt>
              <c:pt idx="61">
                <c:v>2.9083268020711784E-5</c:v>
              </c:pt>
              <c:pt idx="62">
                <c:v>2.9621780214962475E-5</c:v>
              </c:pt>
              <c:pt idx="63">
                <c:v>3.0149885268385401E-5</c:v>
              </c:pt>
              <c:pt idx="64">
                <c:v>3.065984743057655E-5</c:v>
              </c:pt>
              <c:pt idx="65">
                <c:v>3.1144556239394611E-5</c:v>
              </c:pt>
              <c:pt idx="66">
                <c:v>3.1597554726832763E-5</c:v>
              </c:pt>
              <c:pt idx="67">
                <c:v>3.2013054049600915E-5</c:v>
              </c:pt>
              <c:pt idx="68">
                <c:v>3.2385938881030446E-5</c:v>
              </c:pt>
              <c:pt idx="69">
                <c:v>3.2711766904331116E-5</c:v>
              </c:pt>
              <c:pt idx="70">
                <c:v>3.2986764892175706E-5</c:v>
              </c:pt>
              <c:pt idx="71">
                <c:v>3.3207823165867381E-5</c:v>
              </c:pt>
              <c:pt idx="72">
                <c:v>3.337248969168378E-5</c:v>
              </c:pt>
              <c:pt idx="73">
                <c:v>3.347896467100497E-5</c:v>
              </c:pt>
              <c:pt idx="74">
                <c:v>3.3526096188152452E-5</c:v>
              </c:pt>
              <c:pt idx="75">
                <c:v>3.3513377269020666E-5</c:v>
              </c:pt>
              <c:pt idx="76">
                <c:v>3.3440944550102119E-5</c:v>
              </c:pt>
              <c:pt idx="77">
                <c:v>3.3309578639340066E-5</c:v>
              </c:pt>
              <c:pt idx="78">
                <c:v>3.3120706147244026E-5</c:v>
              </c:pt>
              <c:pt idx="79">
                <c:v>3.2876403259639482E-5</c:v>
              </c:pt>
              <c:pt idx="80">
                <c:v>3.2579400592811961E-5</c:v>
              </c:pt>
              <c:pt idx="81">
                <c:v>3.223308889679318E-5</c:v>
              </c:pt>
              <c:pt idx="82">
                <c:v>3.1841524930067772E-5</c:v>
              </c:pt>
              <c:pt idx="83">
                <c:v>3.1409436493603662E-5</c:v>
              </c:pt>
              <c:pt idx="84">
                <c:v>3.0942225157012219E-5</c:v>
              </c:pt>
              <c:pt idx="85">
                <c:v>3.0445964609768035E-5</c:v>
              </c:pt>
              <c:pt idx="86">
                <c:v>2.9927391808950982E-5</c:v>
              </c:pt>
              <c:pt idx="87">
                <c:v>2.9393887174772134E-5</c:v>
              </c:pt>
              <c:pt idx="88">
                <c:v>2.8853439046586735E-5</c:v>
              </c:pt>
              <c:pt idx="89">
                <c:v>2.8314586557844342E-5</c:v>
              </c:pt>
              <c:pt idx="90">
                <c:v>2.7786334212714972E-5</c:v>
              </c:pt>
              <c:pt idx="91">
                <c:v>2.7278031061526834E-5</c:v>
              </c:pt>
              <c:pt idx="92">
                <c:v>2.6799207910889591E-5</c:v>
              </c:pt>
              <c:pt idx="93">
                <c:v>2.6359367982548478E-5</c:v>
              </c:pt>
              <c:pt idx="94">
                <c:v>2.5967730328474245E-5</c:v>
              </c:pt>
              <c:pt idx="95">
                <c:v>2.5632931338963522E-5</c:v>
              </c:pt>
              <c:pt idx="96">
                <c:v>2.5362697525630573E-5</c:v>
              </c:pt>
              <c:pt idx="97">
                <c:v>2.5163511311253285E-5</c:v>
              </c:pt>
              <c:pt idx="98">
                <c:v>2.5040298876664653E-5</c:v>
              </c:pt>
              <c:pt idx="99">
                <c:v>2.4996172802164426E-5</c:v>
              </c:pt>
            </c:numLit>
          </c:yVal>
          <c:smooth val="0"/>
          <c:extLst>
            <c:ext xmlns:c16="http://schemas.microsoft.com/office/drawing/2014/chart" uri="{C3380CC4-5D6E-409C-BE32-E72D297353CC}">
              <c16:uniqueId val="{00000028-00B9-49E7-848D-44C16A56DB58}"/>
            </c:ext>
          </c:extLst>
        </c:ser>
        <c:ser>
          <c:idx val="1"/>
          <c:order val="1"/>
          <c:tx>
            <c:v>Aerodynamic Torque</c:v>
          </c:tx>
          <c:spPr>
            <a:ln w="34925" cap="rnd">
              <a:solidFill>
                <a:schemeClr val="accent2"/>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c:v>
              </c:pt>
              <c:pt idx="2">
                <c:v>2</c:v>
              </c:pt>
              <c:pt idx="3">
                <c:v>3</c:v>
              </c:pt>
              <c:pt idx="4">
                <c:v>4</c:v>
              </c:pt>
              <c:pt idx="5">
                <c:v>5</c:v>
              </c:pt>
              <c:pt idx="6">
                <c:v>6</c:v>
              </c:pt>
              <c:pt idx="7">
                <c:v>7</c:v>
              </c:pt>
              <c:pt idx="8">
                <c:v>7</c:v>
              </c:pt>
              <c:pt idx="9">
                <c:v>8</c:v>
              </c:pt>
              <c:pt idx="10">
                <c:v>9</c:v>
              </c:pt>
              <c:pt idx="11">
                <c:v>10</c:v>
              </c:pt>
              <c:pt idx="12">
                <c:v>11</c:v>
              </c:pt>
              <c:pt idx="13">
                <c:v>12</c:v>
              </c:pt>
              <c:pt idx="14">
                <c:v>13</c:v>
              </c:pt>
              <c:pt idx="15">
                <c:v>14</c:v>
              </c:pt>
              <c:pt idx="16">
                <c:v>15</c:v>
              </c:pt>
              <c:pt idx="17">
                <c:v>16</c:v>
              </c:pt>
              <c:pt idx="18">
                <c:v>17</c:v>
              </c:pt>
              <c:pt idx="19">
                <c:v>18</c:v>
              </c:pt>
              <c:pt idx="20">
                <c:v>19</c:v>
              </c:pt>
              <c:pt idx="21">
                <c:v>20</c:v>
              </c:pt>
              <c:pt idx="22">
                <c:v>21</c:v>
              </c:pt>
              <c:pt idx="23">
                <c:v>21</c:v>
              </c:pt>
              <c:pt idx="24">
                <c:v>22</c:v>
              </c:pt>
              <c:pt idx="25">
                <c:v>23</c:v>
              </c:pt>
              <c:pt idx="26">
                <c:v>24</c:v>
              </c:pt>
              <c:pt idx="27">
                <c:v>25</c:v>
              </c:pt>
              <c:pt idx="28">
                <c:v>26</c:v>
              </c:pt>
              <c:pt idx="29">
                <c:v>27</c:v>
              </c:pt>
              <c:pt idx="30">
                <c:v>28</c:v>
              </c:pt>
              <c:pt idx="31">
                <c:v>29</c:v>
              </c:pt>
              <c:pt idx="32">
                <c:v>30</c:v>
              </c:pt>
              <c:pt idx="33">
                <c:v>31</c:v>
              </c:pt>
              <c:pt idx="34">
                <c:v>32</c:v>
              </c:pt>
              <c:pt idx="35">
                <c:v>33</c:v>
              </c:pt>
              <c:pt idx="36">
                <c:v>34</c:v>
              </c:pt>
              <c:pt idx="37">
                <c:v>35</c:v>
              </c:pt>
              <c:pt idx="38">
                <c:v>36</c:v>
              </c:pt>
              <c:pt idx="39">
                <c:v>36</c:v>
              </c:pt>
              <c:pt idx="40">
                <c:v>37</c:v>
              </c:pt>
              <c:pt idx="41">
                <c:v>38</c:v>
              </c:pt>
              <c:pt idx="42">
                <c:v>39</c:v>
              </c:pt>
              <c:pt idx="43">
                <c:v>40</c:v>
              </c:pt>
              <c:pt idx="44">
                <c:v>41</c:v>
              </c:pt>
              <c:pt idx="45">
                <c:v>42</c:v>
              </c:pt>
              <c:pt idx="46">
                <c:v>43</c:v>
              </c:pt>
              <c:pt idx="47">
                <c:v>44</c:v>
              </c:pt>
              <c:pt idx="48">
                <c:v>45</c:v>
              </c:pt>
              <c:pt idx="49">
                <c:v>46</c:v>
              </c:pt>
              <c:pt idx="50">
                <c:v>46</c:v>
              </c:pt>
              <c:pt idx="51">
                <c:v>47</c:v>
              </c:pt>
              <c:pt idx="52">
                <c:v>48</c:v>
              </c:pt>
              <c:pt idx="53">
                <c:v>49</c:v>
              </c:pt>
              <c:pt idx="54">
                <c:v>50</c:v>
              </c:pt>
              <c:pt idx="55">
                <c:v>51</c:v>
              </c:pt>
              <c:pt idx="56">
                <c:v>52</c:v>
              </c:pt>
              <c:pt idx="57">
                <c:v>53</c:v>
              </c:pt>
              <c:pt idx="58">
                <c:v>54</c:v>
              </c:pt>
              <c:pt idx="59">
                <c:v>55</c:v>
              </c:pt>
              <c:pt idx="60">
                <c:v>56</c:v>
              </c:pt>
              <c:pt idx="61">
                <c:v>56</c:v>
              </c:pt>
              <c:pt idx="62">
                <c:v>57</c:v>
              </c:pt>
              <c:pt idx="63">
                <c:v>58</c:v>
              </c:pt>
              <c:pt idx="64">
                <c:v>59</c:v>
              </c:pt>
              <c:pt idx="65">
                <c:v>60</c:v>
              </c:pt>
              <c:pt idx="66">
                <c:v>61</c:v>
              </c:pt>
              <c:pt idx="67">
                <c:v>62</c:v>
              </c:pt>
              <c:pt idx="68">
                <c:v>63</c:v>
              </c:pt>
              <c:pt idx="69">
                <c:v>64</c:v>
              </c:pt>
              <c:pt idx="70">
                <c:v>65</c:v>
              </c:pt>
              <c:pt idx="71">
                <c:v>66</c:v>
              </c:pt>
              <c:pt idx="72">
                <c:v>67</c:v>
              </c:pt>
              <c:pt idx="73">
                <c:v>68</c:v>
              </c:pt>
              <c:pt idx="74">
                <c:v>69</c:v>
              </c:pt>
              <c:pt idx="75">
                <c:v>70</c:v>
              </c:pt>
              <c:pt idx="76">
                <c:v>70</c:v>
              </c:pt>
              <c:pt idx="77">
                <c:v>71</c:v>
              </c:pt>
              <c:pt idx="78">
                <c:v>72</c:v>
              </c:pt>
              <c:pt idx="79">
                <c:v>73</c:v>
              </c:pt>
              <c:pt idx="80">
                <c:v>74</c:v>
              </c:pt>
              <c:pt idx="81">
                <c:v>75</c:v>
              </c:pt>
              <c:pt idx="82">
                <c:v>76</c:v>
              </c:pt>
              <c:pt idx="83">
                <c:v>77</c:v>
              </c:pt>
              <c:pt idx="84">
                <c:v>78</c:v>
              </c:pt>
              <c:pt idx="85">
                <c:v>79</c:v>
              </c:pt>
              <c:pt idx="86">
                <c:v>80</c:v>
              </c:pt>
              <c:pt idx="87">
                <c:v>81</c:v>
              </c:pt>
              <c:pt idx="88">
                <c:v>82</c:v>
              </c:pt>
              <c:pt idx="89">
                <c:v>83</c:v>
              </c:pt>
              <c:pt idx="90">
                <c:v>84</c:v>
              </c:pt>
              <c:pt idx="91">
                <c:v>84</c:v>
              </c:pt>
              <c:pt idx="92">
                <c:v>85</c:v>
              </c:pt>
              <c:pt idx="93">
                <c:v>86</c:v>
              </c:pt>
              <c:pt idx="94">
                <c:v>87</c:v>
              </c:pt>
              <c:pt idx="95">
                <c:v>88</c:v>
              </c:pt>
              <c:pt idx="96">
                <c:v>89</c:v>
              </c:pt>
              <c:pt idx="97">
                <c:v>90</c:v>
              </c:pt>
              <c:pt idx="98">
                <c:v>91</c:v>
              </c:pt>
              <c:pt idx="99">
                <c:v>92</c:v>
              </c:pt>
            </c:numLit>
          </c:xVal>
          <c:yVal>
            <c:numLit>
              <c:formatCode>General</c:formatCode>
              <c:ptCount val="100"/>
              <c:pt idx="0">
                <c:v>1.6483174150032289E-4</c:v>
              </c:pt>
              <c:pt idx="1">
                <c:v>1.6483174150032297E-4</c:v>
              </c:pt>
              <c:pt idx="2">
                <c:v>1.6483174150032289E-4</c:v>
              </c:pt>
              <c:pt idx="3">
                <c:v>1.6483174150032289E-4</c:v>
              </c:pt>
              <c:pt idx="4">
                <c:v>1.6483174150032297E-4</c:v>
              </c:pt>
              <c:pt idx="5">
                <c:v>1.6483174150032297E-4</c:v>
              </c:pt>
              <c:pt idx="6">
                <c:v>1.6483174150032289E-4</c:v>
              </c:pt>
              <c:pt idx="7">
                <c:v>1.6483174150032286E-4</c:v>
              </c:pt>
              <c:pt idx="8">
                <c:v>1.6483174150032289E-4</c:v>
              </c:pt>
              <c:pt idx="9">
                <c:v>1.6483174150032289E-4</c:v>
              </c:pt>
              <c:pt idx="10">
                <c:v>1.6483174150032289E-4</c:v>
              </c:pt>
              <c:pt idx="11">
                <c:v>1.6483174150032289E-4</c:v>
              </c:pt>
              <c:pt idx="12">
                <c:v>1.6483174150032289E-4</c:v>
              </c:pt>
              <c:pt idx="13">
                <c:v>1.6483174150032289E-4</c:v>
              </c:pt>
              <c:pt idx="14">
                <c:v>1.6483174150032289E-4</c:v>
              </c:pt>
              <c:pt idx="15">
                <c:v>1.6483174150032289E-4</c:v>
              </c:pt>
              <c:pt idx="16">
                <c:v>1.6483174150032289E-4</c:v>
              </c:pt>
              <c:pt idx="17">
                <c:v>1.6483174150032297E-4</c:v>
              </c:pt>
              <c:pt idx="18">
                <c:v>1.6483174150032297E-4</c:v>
              </c:pt>
              <c:pt idx="19">
                <c:v>1.6483174150032289E-4</c:v>
              </c:pt>
              <c:pt idx="20">
                <c:v>1.6483174150032289E-4</c:v>
              </c:pt>
              <c:pt idx="21">
                <c:v>1.6483174150032286E-4</c:v>
              </c:pt>
              <c:pt idx="22">
                <c:v>1.6483174150032289E-4</c:v>
              </c:pt>
              <c:pt idx="23">
                <c:v>1.6483174150032289E-4</c:v>
              </c:pt>
              <c:pt idx="24">
                <c:v>1.6483174150032289E-4</c:v>
              </c:pt>
              <c:pt idx="25">
                <c:v>1.6483174150032289E-4</c:v>
              </c:pt>
              <c:pt idx="26">
                <c:v>1.6483174150032289E-4</c:v>
              </c:pt>
              <c:pt idx="27">
                <c:v>1.6483174150032289E-4</c:v>
              </c:pt>
              <c:pt idx="28">
                <c:v>1.6483174150032289E-4</c:v>
              </c:pt>
              <c:pt idx="29">
                <c:v>1.6483174150032286E-4</c:v>
              </c:pt>
              <c:pt idx="30">
                <c:v>1.6483174150032289E-4</c:v>
              </c:pt>
              <c:pt idx="31">
                <c:v>1.6483174150032289E-4</c:v>
              </c:pt>
              <c:pt idx="32">
                <c:v>1.6483174150032289E-4</c:v>
              </c:pt>
              <c:pt idx="33">
                <c:v>1.6483174150032286E-4</c:v>
              </c:pt>
              <c:pt idx="34">
                <c:v>1.6483174150032286E-4</c:v>
              </c:pt>
              <c:pt idx="35">
                <c:v>1.6483174150032289E-4</c:v>
              </c:pt>
              <c:pt idx="36">
                <c:v>1.6483174150032289E-4</c:v>
              </c:pt>
              <c:pt idx="37">
                <c:v>1.6483174150032289E-4</c:v>
              </c:pt>
              <c:pt idx="38">
                <c:v>1.6483174150032286E-4</c:v>
              </c:pt>
              <c:pt idx="39">
                <c:v>1.6483174150032297E-4</c:v>
              </c:pt>
              <c:pt idx="40">
                <c:v>1.6483174150032289E-4</c:v>
              </c:pt>
              <c:pt idx="41">
                <c:v>1.6483174150032289E-4</c:v>
              </c:pt>
              <c:pt idx="42">
                <c:v>1.6483174150032286E-4</c:v>
              </c:pt>
              <c:pt idx="43">
                <c:v>1.6483174150032289E-4</c:v>
              </c:pt>
              <c:pt idx="44">
                <c:v>1.6483174150032286E-4</c:v>
              </c:pt>
              <c:pt idx="45">
                <c:v>1.6483174150032289E-4</c:v>
              </c:pt>
              <c:pt idx="46">
                <c:v>1.6483174150032289E-4</c:v>
              </c:pt>
              <c:pt idx="47">
                <c:v>1.6483174150032289E-4</c:v>
              </c:pt>
              <c:pt idx="48">
                <c:v>1.6483174150032283E-4</c:v>
              </c:pt>
              <c:pt idx="49">
                <c:v>1.6483174150032289E-4</c:v>
              </c:pt>
              <c:pt idx="50">
                <c:v>1.6483174150032289E-4</c:v>
              </c:pt>
              <c:pt idx="51">
                <c:v>1.6483174150032289E-4</c:v>
              </c:pt>
              <c:pt idx="52">
                <c:v>1.6483174150032289E-4</c:v>
              </c:pt>
              <c:pt idx="53">
                <c:v>1.6483174150032289E-4</c:v>
              </c:pt>
              <c:pt idx="54">
                <c:v>1.6483174150032289E-4</c:v>
              </c:pt>
              <c:pt idx="55">
                <c:v>1.6483174150032289E-4</c:v>
              </c:pt>
              <c:pt idx="56">
                <c:v>1.6483174150032297E-4</c:v>
              </c:pt>
              <c:pt idx="57">
                <c:v>1.6483174150032286E-4</c:v>
              </c:pt>
              <c:pt idx="58">
                <c:v>1.6483174150032289E-4</c:v>
              </c:pt>
              <c:pt idx="59">
                <c:v>1.6483174150032286E-4</c:v>
              </c:pt>
              <c:pt idx="60">
                <c:v>1.6483174150032286E-4</c:v>
              </c:pt>
              <c:pt idx="61">
                <c:v>1.6483174150032286E-4</c:v>
              </c:pt>
              <c:pt idx="62">
                <c:v>1.6483174150032289E-4</c:v>
              </c:pt>
              <c:pt idx="63">
                <c:v>1.6483174150032289E-4</c:v>
              </c:pt>
              <c:pt idx="64">
                <c:v>1.6483174150032289E-4</c:v>
              </c:pt>
              <c:pt idx="65">
                <c:v>1.6483174150032286E-4</c:v>
              </c:pt>
              <c:pt idx="66">
                <c:v>1.6483174150032289E-4</c:v>
              </c:pt>
              <c:pt idx="67">
                <c:v>1.6483174150032289E-4</c:v>
              </c:pt>
              <c:pt idx="68">
                <c:v>1.6483174150032286E-4</c:v>
              </c:pt>
              <c:pt idx="69">
                <c:v>1.6483174150032289E-4</c:v>
              </c:pt>
              <c:pt idx="70">
                <c:v>1.6483174150032297E-4</c:v>
              </c:pt>
              <c:pt idx="71">
                <c:v>1.6483174150032289E-4</c:v>
              </c:pt>
              <c:pt idx="72">
                <c:v>1.6483174150032289E-4</c:v>
              </c:pt>
              <c:pt idx="73">
                <c:v>1.6483174150032289E-4</c:v>
              </c:pt>
              <c:pt idx="74">
                <c:v>1.6483174150032289E-4</c:v>
              </c:pt>
              <c:pt idx="75">
                <c:v>1.6483174150032289E-4</c:v>
              </c:pt>
              <c:pt idx="76">
                <c:v>1.6483174150032289E-4</c:v>
              </c:pt>
              <c:pt idx="77">
                <c:v>1.6483174150032289E-4</c:v>
              </c:pt>
              <c:pt idx="78">
                <c:v>1.6483174150032286E-4</c:v>
              </c:pt>
              <c:pt idx="79">
                <c:v>1.6483174150032289E-4</c:v>
              </c:pt>
              <c:pt idx="80">
                <c:v>1.6483174150032289E-4</c:v>
              </c:pt>
              <c:pt idx="81">
                <c:v>1.6483174150032297E-4</c:v>
              </c:pt>
              <c:pt idx="82">
                <c:v>1.6483174150032289E-4</c:v>
              </c:pt>
              <c:pt idx="83">
                <c:v>1.6483174150032289E-4</c:v>
              </c:pt>
              <c:pt idx="84">
                <c:v>1.6483174150032289E-4</c:v>
              </c:pt>
              <c:pt idx="85">
                <c:v>1.6483174150032289E-4</c:v>
              </c:pt>
              <c:pt idx="86">
                <c:v>1.6483174150032286E-4</c:v>
              </c:pt>
              <c:pt idx="87">
                <c:v>1.6483174150032289E-4</c:v>
              </c:pt>
              <c:pt idx="88">
                <c:v>1.6483174150032289E-4</c:v>
              </c:pt>
              <c:pt idx="89">
                <c:v>1.6483174150032289E-4</c:v>
              </c:pt>
              <c:pt idx="90">
                <c:v>1.6483174150032289E-4</c:v>
              </c:pt>
              <c:pt idx="91">
                <c:v>1.6483174150032289E-4</c:v>
              </c:pt>
              <c:pt idx="92">
                <c:v>1.6483174150032289E-4</c:v>
              </c:pt>
              <c:pt idx="93">
                <c:v>1.6483174150032286E-4</c:v>
              </c:pt>
              <c:pt idx="94">
                <c:v>1.6483174150032289E-4</c:v>
              </c:pt>
              <c:pt idx="95">
                <c:v>1.6483174150032286E-4</c:v>
              </c:pt>
              <c:pt idx="96">
                <c:v>1.6483174150032289E-4</c:v>
              </c:pt>
              <c:pt idx="97">
                <c:v>1.6483174150032289E-4</c:v>
              </c:pt>
              <c:pt idx="98">
                <c:v>1.6483174150032286E-4</c:v>
              </c:pt>
              <c:pt idx="99">
                <c:v>1.6483174150032286E-4</c:v>
              </c:pt>
            </c:numLit>
          </c:yVal>
          <c:smooth val="0"/>
          <c:extLst>
            <c:ext xmlns:c16="http://schemas.microsoft.com/office/drawing/2014/chart" uri="{C3380CC4-5D6E-409C-BE32-E72D297353CC}">
              <c16:uniqueId val="{00000029-00B9-49E7-848D-44C16A56DB58}"/>
            </c:ext>
          </c:extLst>
        </c:ser>
        <c:ser>
          <c:idx val="2"/>
          <c:order val="2"/>
          <c:tx>
            <c:v>Gravity Torque</c:v>
          </c:tx>
          <c:spPr>
            <a:ln w="34925" cap="rnd">
              <a:solidFill>
                <a:schemeClr val="accent3"/>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c:v>
              </c:pt>
              <c:pt idx="2">
                <c:v>2</c:v>
              </c:pt>
              <c:pt idx="3">
                <c:v>3</c:v>
              </c:pt>
              <c:pt idx="4">
                <c:v>4</c:v>
              </c:pt>
              <c:pt idx="5">
                <c:v>5</c:v>
              </c:pt>
              <c:pt idx="6">
                <c:v>6</c:v>
              </c:pt>
              <c:pt idx="7">
                <c:v>7</c:v>
              </c:pt>
              <c:pt idx="8">
                <c:v>7</c:v>
              </c:pt>
              <c:pt idx="9">
                <c:v>8</c:v>
              </c:pt>
              <c:pt idx="10">
                <c:v>9</c:v>
              </c:pt>
              <c:pt idx="11">
                <c:v>10</c:v>
              </c:pt>
              <c:pt idx="12">
                <c:v>11</c:v>
              </c:pt>
              <c:pt idx="13">
                <c:v>12</c:v>
              </c:pt>
              <c:pt idx="14">
                <c:v>13</c:v>
              </c:pt>
              <c:pt idx="15">
                <c:v>14</c:v>
              </c:pt>
              <c:pt idx="16">
                <c:v>15</c:v>
              </c:pt>
              <c:pt idx="17">
                <c:v>16</c:v>
              </c:pt>
              <c:pt idx="18">
                <c:v>17</c:v>
              </c:pt>
              <c:pt idx="19">
                <c:v>18</c:v>
              </c:pt>
              <c:pt idx="20">
                <c:v>19</c:v>
              </c:pt>
              <c:pt idx="21">
                <c:v>20</c:v>
              </c:pt>
              <c:pt idx="22">
                <c:v>21</c:v>
              </c:pt>
              <c:pt idx="23">
                <c:v>21</c:v>
              </c:pt>
              <c:pt idx="24">
                <c:v>22</c:v>
              </c:pt>
              <c:pt idx="25">
                <c:v>23</c:v>
              </c:pt>
              <c:pt idx="26">
                <c:v>24</c:v>
              </c:pt>
              <c:pt idx="27">
                <c:v>25</c:v>
              </c:pt>
              <c:pt idx="28">
                <c:v>26</c:v>
              </c:pt>
              <c:pt idx="29">
                <c:v>27</c:v>
              </c:pt>
              <c:pt idx="30">
                <c:v>28</c:v>
              </c:pt>
              <c:pt idx="31">
                <c:v>29</c:v>
              </c:pt>
              <c:pt idx="32">
                <c:v>30</c:v>
              </c:pt>
              <c:pt idx="33">
                <c:v>31</c:v>
              </c:pt>
              <c:pt idx="34">
                <c:v>32</c:v>
              </c:pt>
              <c:pt idx="35">
                <c:v>33</c:v>
              </c:pt>
              <c:pt idx="36">
                <c:v>34</c:v>
              </c:pt>
              <c:pt idx="37">
                <c:v>35</c:v>
              </c:pt>
              <c:pt idx="38">
                <c:v>36</c:v>
              </c:pt>
              <c:pt idx="39">
                <c:v>36</c:v>
              </c:pt>
              <c:pt idx="40">
                <c:v>37</c:v>
              </c:pt>
              <c:pt idx="41">
                <c:v>38</c:v>
              </c:pt>
              <c:pt idx="42">
                <c:v>39</c:v>
              </c:pt>
              <c:pt idx="43">
                <c:v>40</c:v>
              </c:pt>
              <c:pt idx="44">
                <c:v>41</c:v>
              </c:pt>
              <c:pt idx="45">
                <c:v>42</c:v>
              </c:pt>
              <c:pt idx="46">
                <c:v>43</c:v>
              </c:pt>
              <c:pt idx="47">
                <c:v>44</c:v>
              </c:pt>
              <c:pt idx="48">
                <c:v>45</c:v>
              </c:pt>
              <c:pt idx="49">
                <c:v>46</c:v>
              </c:pt>
              <c:pt idx="50">
                <c:v>46</c:v>
              </c:pt>
              <c:pt idx="51">
                <c:v>47</c:v>
              </c:pt>
              <c:pt idx="52">
                <c:v>48</c:v>
              </c:pt>
              <c:pt idx="53">
                <c:v>49</c:v>
              </c:pt>
              <c:pt idx="54">
                <c:v>50</c:v>
              </c:pt>
              <c:pt idx="55">
                <c:v>51</c:v>
              </c:pt>
              <c:pt idx="56">
                <c:v>52</c:v>
              </c:pt>
              <c:pt idx="57">
                <c:v>53</c:v>
              </c:pt>
              <c:pt idx="58">
                <c:v>54</c:v>
              </c:pt>
              <c:pt idx="59">
                <c:v>55</c:v>
              </c:pt>
              <c:pt idx="60">
                <c:v>56</c:v>
              </c:pt>
              <c:pt idx="61">
                <c:v>56</c:v>
              </c:pt>
              <c:pt idx="62">
                <c:v>57</c:v>
              </c:pt>
              <c:pt idx="63">
                <c:v>58</c:v>
              </c:pt>
              <c:pt idx="64">
                <c:v>59</c:v>
              </c:pt>
              <c:pt idx="65">
                <c:v>60</c:v>
              </c:pt>
              <c:pt idx="66">
                <c:v>61</c:v>
              </c:pt>
              <c:pt idx="67">
                <c:v>62</c:v>
              </c:pt>
              <c:pt idx="68">
                <c:v>63</c:v>
              </c:pt>
              <c:pt idx="69">
                <c:v>64</c:v>
              </c:pt>
              <c:pt idx="70">
                <c:v>65</c:v>
              </c:pt>
              <c:pt idx="71">
                <c:v>66</c:v>
              </c:pt>
              <c:pt idx="72">
                <c:v>67</c:v>
              </c:pt>
              <c:pt idx="73">
                <c:v>68</c:v>
              </c:pt>
              <c:pt idx="74">
                <c:v>69</c:v>
              </c:pt>
              <c:pt idx="75">
                <c:v>70</c:v>
              </c:pt>
              <c:pt idx="76">
                <c:v>70</c:v>
              </c:pt>
              <c:pt idx="77">
                <c:v>71</c:v>
              </c:pt>
              <c:pt idx="78">
                <c:v>72</c:v>
              </c:pt>
              <c:pt idx="79">
                <c:v>73</c:v>
              </c:pt>
              <c:pt idx="80">
                <c:v>74</c:v>
              </c:pt>
              <c:pt idx="81">
                <c:v>75</c:v>
              </c:pt>
              <c:pt idx="82">
                <c:v>76</c:v>
              </c:pt>
              <c:pt idx="83">
                <c:v>77</c:v>
              </c:pt>
              <c:pt idx="84">
                <c:v>78</c:v>
              </c:pt>
              <c:pt idx="85">
                <c:v>79</c:v>
              </c:pt>
              <c:pt idx="86">
                <c:v>80</c:v>
              </c:pt>
              <c:pt idx="87">
                <c:v>81</c:v>
              </c:pt>
              <c:pt idx="88">
                <c:v>82</c:v>
              </c:pt>
              <c:pt idx="89">
                <c:v>83</c:v>
              </c:pt>
              <c:pt idx="90">
                <c:v>84</c:v>
              </c:pt>
              <c:pt idx="91">
                <c:v>84</c:v>
              </c:pt>
              <c:pt idx="92">
                <c:v>85</c:v>
              </c:pt>
              <c:pt idx="93">
                <c:v>86</c:v>
              </c:pt>
              <c:pt idx="94">
                <c:v>87</c:v>
              </c:pt>
              <c:pt idx="95">
                <c:v>88</c:v>
              </c:pt>
              <c:pt idx="96">
                <c:v>89</c:v>
              </c:pt>
              <c:pt idx="97">
                <c:v>90</c:v>
              </c:pt>
              <c:pt idx="98">
                <c:v>91</c:v>
              </c:pt>
              <c:pt idx="99">
                <c:v>92</c:v>
              </c:pt>
            </c:numLit>
          </c:xVal>
          <c:yVal>
            <c:numLit>
              <c:formatCode>General</c:formatCode>
              <c:ptCount val="100"/>
              <c:pt idx="0">
                <c:v>9.5999257429407182E-8</c:v>
              </c:pt>
              <c:pt idx="1">
                <c:v>9.5999257429407182E-8</c:v>
              </c:pt>
              <c:pt idx="2">
                <c:v>9.5999257429407182E-8</c:v>
              </c:pt>
              <c:pt idx="3">
                <c:v>9.5999257429407142E-8</c:v>
              </c:pt>
              <c:pt idx="4">
                <c:v>9.5999257429407182E-8</c:v>
              </c:pt>
              <c:pt idx="5">
                <c:v>9.5999257429407182E-8</c:v>
              </c:pt>
              <c:pt idx="6">
                <c:v>9.5999257429407182E-8</c:v>
              </c:pt>
              <c:pt idx="7">
                <c:v>9.5999257429407182E-8</c:v>
              </c:pt>
              <c:pt idx="8">
                <c:v>9.5999257429407182E-8</c:v>
              </c:pt>
              <c:pt idx="9">
                <c:v>9.5999257429407221E-8</c:v>
              </c:pt>
              <c:pt idx="10">
                <c:v>9.5999257429407182E-8</c:v>
              </c:pt>
              <c:pt idx="11">
                <c:v>9.5999257429407221E-8</c:v>
              </c:pt>
              <c:pt idx="12">
                <c:v>9.5999257429407182E-8</c:v>
              </c:pt>
              <c:pt idx="13">
                <c:v>9.5999257429407182E-8</c:v>
              </c:pt>
              <c:pt idx="14">
                <c:v>9.5999257429407182E-8</c:v>
              </c:pt>
              <c:pt idx="15">
                <c:v>9.5999257429407221E-8</c:v>
              </c:pt>
              <c:pt idx="16">
                <c:v>9.5999257429407182E-8</c:v>
              </c:pt>
              <c:pt idx="17">
                <c:v>9.5999257429407182E-8</c:v>
              </c:pt>
              <c:pt idx="18">
                <c:v>9.5999257429407182E-8</c:v>
              </c:pt>
              <c:pt idx="19">
                <c:v>9.5999257429407182E-8</c:v>
              </c:pt>
              <c:pt idx="20">
                <c:v>9.5999257429407221E-8</c:v>
              </c:pt>
              <c:pt idx="21">
                <c:v>9.5999257429407221E-8</c:v>
              </c:pt>
              <c:pt idx="22">
                <c:v>9.5999257429407221E-8</c:v>
              </c:pt>
              <c:pt idx="23">
                <c:v>9.5999257429407182E-8</c:v>
              </c:pt>
              <c:pt idx="24">
                <c:v>9.5999257429407221E-8</c:v>
              </c:pt>
              <c:pt idx="25">
                <c:v>9.5999257429407221E-8</c:v>
              </c:pt>
              <c:pt idx="26">
                <c:v>9.5999257429407221E-8</c:v>
              </c:pt>
              <c:pt idx="27">
                <c:v>9.5999257429407221E-8</c:v>
              </c:pt>
              <c:pt idx="28">
                <c:v>9.5999257429407182E-8</c:v>
              </c:pt>
              <c:pt idx="29">
                <c:v>9.5999257429407182E-8</c:v>
              </c:pt>
              <c:pt idx="30">
                <c:v>9.5999257429407221E-8</c:v>
              </c:pt>
              <c:pt idx="31">
                <c:v>9.5999257429407182E-8</c:v>
              </c:pt>
              <c:pt idx="32">
                <c:v>9.5999257429407182E-8</c:v>
              </c:pt>
              <c:pt idx="33">
                <c:v>9.5999257429407182E-8</c:v>
              </c:pt>
              <c:pt idx="34">
                <c:v>9.5999257429407182E-8</c:v>
              </c:pt>
              <c:pt idx="35">
                <c:v>9.5999257429407221E-8</c:v>
              </c:pt>
              <c:pt idx="36">
                <c:v>9.5999257429407221E-8</c:v>
              </c:pt>
              <c:pt idx="37">
                <c:v>9.5999257429407182E-8</c:v>
              </c:pt>
              <c:pt idx="38">
                <c:v>9.5999257429407221E-8</c:v>
              </c:pt>
              <c:pt idx="39">
                <c:v>9.5999257429407221E-8</c:v>
              </c:pt>
              <c:pt idx="40">
                <c:v>9.5999257429407182E-8</c:v>
              </c:pt>
              <c:pt idx="41">
                <c:v>9.5999257429407182E-8</c:v>
              </c:pt>
              <c:pt idx="42">
                <c:v>9.5999257429407182E-8</c:v>
              </c:pt>
              <c:pt idx="43">
                <c:v>9.5999257429407182E-8</c:v>
              </c:pt>
              <c:pt idx="44">
                <c:v>9.5999257429407221E-8</c:v>
              </c:pt>
              <c:pt idx="45">
                <c:v>9.5999257429407182E-8</c:v>
              </c:pt>
              <c:pt idx="46">
                <c:v>9.5999257429407182E-8</c:v>
              </c:pt>
              <c:pt idx="47">
                <c:v>9.5999257429407221E-8</c:v>
              </c:pt>
              <c:pt idx="48">
                <c:v>9.5999257429407221E-8</c:v>
              </c:pt>
              <c:pt idx="49">
                <c:v>9.5999257429407221E-8</c:v>
              </c:pt>
              <c:pt idx="50">
                <c:v>9.5999257429407221E-8</c:v>
              </c:pt>
              <c:pt idx="51">
                <c:v>9.5999257429407182E-8</c:v>
              </c:pt>
              <c:pt idx="52">
                <c:v>9.5999257429407182E-8</c:v>
              </c:pt>
              <c:pt idx="53">
                <c:v>9.5999257429407182E-8</c:v>
              </c:pt>
              <c:pt idx="54">
                <c:v>9.5999257429407182E-8</c:v>
              </c:pt>
              <c:pt idx="55">
                <c:v>9.5999257429407182E-8</c:v>
              </c:pt>
              <c:pt idx="56">
                <c:v>9.5999257429407182E-8</c:v>
              </c:pt>
              <c:pt idx="57">
                <c:v>9.5999257429407182E-8</c:v>
              </c:pt>
              <c:pt idx="58">
                <c:v>9.5999257429407221E-8</c:v>
              </c:pt>
              <c:pt idx="59">
                <c:v>9.5999257429407182E-8</c:v>
              </c:pt>
              <c:pt idx="60">
                <c:v>9.5999257429407182E-8</c:v>
              </c:pt>
              <c:pt idx="61">
                <c:v>9.5999257429407221E-8</c:v>
              </c:pt>
              <c:pt idx="62">
                <c:v>9.5999257429407182E-8</c:v>
              </c:pt>
              <c:pt idx="63">
                <c:v>9.5999257429407221E-8</c:v>
              </c:pt>
              <c:pt idx="64">
                <c:v>9.5999257429407221E-8</c:v>
              </c:pt>
              <c:pt idx="65">
                <c:v>9.5999257429407221E-8</c:v>
              </c:pt>
              <c:pt idx="66">
                <c:v>9.5999257429407221E-8</c:v>
              </c:pt>
              <c:pt idx="67">
                <c:v>9.5999257429407182E-8</c:v>
              </c:pt>
              <c:pt idx="68">
                <c:v>9.5999257429407221E-8</c:v>
              </c:pt>
              <c:pt idx="69">
                <c:v>9.5999257429407182E-8</c:v>
              </c:pt>
              <c:pt idx="70">
                <c:v>9.5999257429407182E-8</c:v>
              </c:pt>
              <c:pt idx="71">
                <c:v>9.5999257429407221E-8</c:v>
              </c:pt>
              <c:pt idx="72">
                <c:v>9.5999257429407221E-8</c:v>
              </c:pt>
              <c:pt idx="73">
                <c:v>9.5999257429407221E-8</c:v>
              </c:pt>
              <c:pt idx="74">
                <c:v>9.5999257429407221E-8</c:v>
              </c:pt>
              <c:pt idx="75">
                <c:v>9.5999257429407182E-8</c:v>
              </c:pt>
              <c:pt idx="76">
                <c:v>9.5999257429407221E-8</c:v>
              </c:pt>
              <c:pt idx="77">
                <c:v>9.5999257429407221E-8</c:v>
              </c:pt>
              <c:pt idx="78">
                <c:v>9.5999257429407221E-8</c:v>
              </c:pt>
              <c:pt idx="79">
                <c:v>9.5999257429407182E-8</c:v>
              </c:pt>
              <c:pt idx="80">
                <c:v>9.5999257429407221E-8</c:v>
              </c:pt>
              <c:pt idx="81">
                <c:v>9.5999257429407221E-8</c:v>
              </c:pt>
              <c:pt idx="82">
                <c:v>9.5999257429407182E-8</c:v>
              </c:pt>
              <c:pt idx="83">
                <c:v>9.5999257429407221E-8</c:v>
              </c:pt>
              <c:pt idx="84">
                <c:v>9.5999257429407182E-8</c:v>
              </c:pt>
              <c:pt idx="85">
                <c:v>9.5999257429407221E-8</c:v>
              </c:pt>
              <c:pt idx="86">
                <c:v>9.5999257429407221E-8</c:v>
              </c:pt>
              <c:pt idx="87">
                <c:v>9.5999257429407182E-8</c:v>
              </c:pt>
              <c:pt idx="88">
                <c:v>9.5999257429407221E-8</c:v>
              </c:pt>
              <c:pt idx="89">
                <c:v>9.5999257429407221E-8</c:v>
              </c:pt>
              <c:pt idx="90">
                <c:v>9.5999257429407182E-8</c:v>
              </c:pt>
              <c:pt idx="91">
                <c:v>9.5999257429407182E-8</c:v>
              </c:pt>
              <c:pt idx="92">
                <c:v>9.5999257429407182E-8</c:v>
              </c:pt>
              <c:pt idx="93">
                <c:v>9.5999257429407182E-8</c:v>
              </c:pt>
              <c:pt idx="94">
                <c:v>9.5999257429407182E-8</c:v>
              </c:pt>
              <c:pt idx="95">
                <c:v>9.5999257429407182E-8</c:v>
              </c:pt>
              <c:pt idx="96">
                <c:v>9.5999257429407182E-8</c:v>
              </c:pt>
              <c:pt idx="97">
                <c:v>9.5999257429407182E-8</c:v>
              </c:pt>
              <c:pt idx="98">
                <c:v>9.5999257429407221E-8</c:v>
              </c:pt>
              <c:pt idx="99">
                <c:v>9.5999257429407182E-8</c:v>
              </c:pt>
            </c:numLit>
          </c:yVal>
          <c:smooth val="0"/>
          <c:extLst>
            <c:ext xmlns:c16="http://schemas.microsoft.com/office/drawing/2014/chart" uri="{C3380CC4-5D6E-409C-BE32-E72D297353CC}">
              <c16:uniqueId val="{0000002A-00B9-49E7-848D-44C16A56DB58}"/>
            </c:ext>
          </c:extLst>
        </c:ser>
        <c:ser>
          <c:idx val="3"/>
          <c:order val="3"/>
          <c:tx>
            <c:v>Solar pressure Torque</c:v>
          </c:tx>
          <c:spPr>
            <a:ln w="34925" cap="rnd">
              <a:solidFill>
                <a:schemeClr val="accent4"/>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c:v>
              </c:pt>
              <c:pt idx="2">
                <c:v>2</c:v>
              </c:pt>
              <c:pt idx="3">
                <c:v>3</c:v>
              </c:pt>
              <c:pt idx="4">
                <c:v>4</c:v>
              </c:pt>
              <c:pt idx="5">
                <c:v>5</c:v>
              </c:pt>
              <c:pt idx="6">
                <c:v>6</c:v>
              </c:pt>
              <c:pt idx="7">
                <c:v>7</c:v>
              </c:pt>
              <c:pt idx="8">
                <c:v>7</c:v>
              </c:pt>
              <c:pt idx="9">
                <c:v>8</c:v>
              </c:pt>
              <c:pt idx="10">
                <c:v>9</c:v>
              </c:pt>
              <c:pt idx="11">
                <c:v>10</c:v>
              </c:pt>
              <c:pt idx="12">
                <c:v>11</c:v>
              </c:pt>
              <c:pt idx="13">
                <c:v>12</c:v>
              </c:pt>
              <c:pt idx="14">
                <c:v>13</c:v>
              </c:pt>
              <c:pt idx="15">
                <c:v>14</c:v>
              </c:pt>
              <c:pt idx="16">
                <c:v>15</c:v>
              </c:pt>
              <c:pt idx="17">
                <c:v>16</c:v>
              </c:pt>
              <c:pt idx="18">
                <c:v>17</c:v>
              </c:pt>
              <c:pt idx="19">
                <c:v>18</c:v>
              </c:pt>
              <c:pt idx="20">
                <c:v>19</c:v>
              </c:pt>
              <c:pt idx="21">
                <c:v>20</c:v>
              </c:pt>
              <c:pt idx="22">
                <c:v>21</c:v>
              </c:pt>
              <c:pt idx="23">
                <c:v>21</c:v>
              </c:pt>
              <c:pt idx="24">
                <c:v>22</c:v>
              </c:pt>
              <c:pt idx="25">
                <c:v>23</c:v>
              </c:pt>
              <c:pt idx="26">
                <c:v>24</c:v>
              </c:pt>
              <c:pt idx="27">
                <c:v>25</c:v>
              </c:pt>
              <c:pt idx="28">
                <c:v>26</c:v>
              </c:pt>
              <c:pt idx="29">
                <c:v>27</c:v>
              </c:pt>
              <c:pt idx="30">
                <c:v>28</c:v>
              </c:pt>
              <c:pt idx="31">
                <c:v>29</c:v>
              </c:pt>
              <c:pt idx="32">
                <c:v>30</c:v>
              </c:pt>
              <c:pt idx="33">
                <c:v>31</c:v>
              </c:pt>
              <c:pt idx="34">
                <c:v>32</c:v>
              </c:pt>
              <c:pt idx="35">
                <c:v>33</c:v>
              </c:pt>
              <c:pt idx="36">
                <c:v>34</c:v>
              </c:pt>
              <c:pt idx="37">
                <c:v>35</c:v>
              </c:pt>
              <c:pt idx="38">
                <c:v>36</c:v>
              </c:pt>
              <c:pt idx="39">
                <c:v>36</c:v>
              </c:pt>
              <c:pt idx="40">
                <c:v>37</c:v>
              </c:pt>
              <c:pt idx="41">
                <c:v>38</c:v>
              </c:pt>
              <c:pt idx="42">
                <c:v>39</c:v>
              </c:pt>
              <c:pt idx="43">
                <c:v>40</c:v>
              </c:pt>
              <c:pt idx="44">
                <c:v>41</c:v>
              </c:pt>
              <c:pt idx="45">
                <c:v>42</c:v>
              </c:pt>
              <c:pt idx="46">
                <c:v>43</c:v>
              </c:pt>
              <c:pt idx="47">
                <c:v>44</c:v>
              </c:pt>
              <c:pt idx="48">
                <c:v>45</c:v>
              </c:pt>
              <c:pt idx="49">
                <c:v>46</c:v>
              </c:pt>
              <c:pt idx="50">
                <c:v>46</c:v>
              </c:pt>
              <c:pt idx="51">
                <c:v>47</c:v>
              </c:pt>
              <c:pt idx="52">
                <c:v>48</c:v>
              </c:pt>
              <c:pt idx="53">
                <c:v>49</c:v>
              </c:pt>
              <c:pt idx="54">
                <c:v>50</c:v>
              </c:pt>
              <c:pt idx="55">
                <c:v>51</c:v>
              </c:pt>
              <c:pt idx="56">
                <c:v>52</c:v>
              </c:pt>
              <c:pt idx="57">
                <c:v>53</c:v>
              </c:pt>
              <c:pt idx="58">
                <c:v>54</c:v>
              </c:pt>
              <c:pt idx="59">
                <c:v>55</c:v>
              </c:pt>
              <c:pt idx="60">
                <c:v>56</c:v>
              </c:pt>
              <c:pt idx="61">
                <c:v>56</c:v>
              </c:pt>
              <c:pt idx="62">
                <c:v>57</c:v>
              </c:pt>
              <c:pt idx="63">
                <c:v>58</c:v>
              </c:pt>
              <c:pt idx="64">
                <c:v>59</c:v>
              </c:pt>
              <c:pt idx="65">
                <c:v>60</c:v>
              </c:pt>
              <c:pt idx="66">
                <c:v>61</c:v>
              </c:pt>
              <c:pt idx="67">
                <c:v>62</c:v>
              </c:pt>
              <c:pt idx="68">
                <c:v>63</c:v>
              </c:pt>
              <c:pt idx="69">
                <c:v>64</c:v>
              </c:pt>
              <c:pt idx="70">
                <c:v>65</c:v>
              </c:pt>
              <c:pt idx="71">
                <c:v>66</c:v>
              </c:pt>
              <c:pt idx="72">
                <c:v>67</c:v>
              </c:pt>
              <c:pt idx="73">
                <c:v>68</c:v>
              </c:pt>
              <c:pt idx="74">
                <c:v>69</c:v>
              </c:pt>
              <c:pt idx="75">
                <c:v>70</c:v>
              </c:pt>
              <c:pt idx="76">
                <c:v>70</c:v>
              </c:pt>
              <c:pt idx="77">
                <c:v>71</c:v>
              </c:pt>
              <c:pt idx="78">
                <c:v>72</c:v>
              </c:pt>
              <c:pt idx="79">
                <c:v>73</c:v>
              </c:pt>
              <c:pt idx="80">
                <c:v>74</c:v>
              </c:pt>
              <c:pt idx="81">
                <c:v>75</c:v>
              </c:pt>
              <c:pt idx="82">
                <c:v>76</c:v>
              </c:pt>
              <c:pt idx="83">
                <c:v>77</c:v>
              </c:pt>
              <c:pt idx="84">
                <c:v>78</c:v>
              </c:pt>
              <c:pt idx="85">
                <c:v>79</c:v>
              </c:pt>
              <c:pt idx="86">
                <c:v>80</c:v>
              </c:pt>
              <c:pt idx="87">
                <c:v>81</c:v>
              </c:pt>
              <c:pt idx="88">
                <c:v>82</c:v>
              </c:pt>
              <c:pt idx="89">
                <c:v>83</c:v>
              </c:pt>
              <c:pt idx="90">
                <c:v>84</c:v>
              </c:pt>
              <c:pt idx="91">
                <c:v>84</c:v>
              </c:pt>
              <c:pt idx="92">
                <c:v>85</c:v>
              </c:pt>
              <c:pt idx="93">
                <c:v>86</c:v>
              </c:pt>
              <c:pt idx="94">
                <c:v>87</c:v>
              </c:pt>
              <c:pt idx="95">
                <c:v>88</c:v>
              </c:pt>
              <c:pt idx="96">
                <c:v>89</c:v>
              </c:pt>
              <c:pt idx="97">
                <c:v>90</c:v>
              </c:pt>
              <c:pt idx="98">
                <c:v>91</c:v>
              </c:pt>
              <c:pt idx="99">
                <c:v>92</c:v>
              </c:pt>
            </c:numLit>
          </c:xVal>
          <c:yVal>
            <c:numLit>
              <c:formatCode>General</c:formatCode>
              <c:ptCount val="100"/>
              <c:pt idx="0">
                <c:v>1.7084443327280537E-6</c:v>
              </c:pt>
              <c:pt idx="1">
                <c:v>1.7084443327280537E-6</c:v>
              </c:pt>
              <c:pt idx="2">
                <c:v>1.7084443327280537E-6</c:v>
              </c:pt>
              <c:pt idx="3">
                <c:v>1.7084443327280537E-6</c:v>
              </c:pt>
              <c:pt idx="4">
                <c:v>1.7084443327280537E-6</c:v>
              </c:pt>
              <c:pt idx="5">
                <c:v>1.7084443327280537E-6</c:v>
              </c:pt>
              <c:pt idx="6">
                <c:v>1.7084443327280537E-6</c:v>
              </c:pt>
              <c:pt idx="7">
                <c:v>1.7084443327280537E-6</c:v>
              </c:pt>
              <c:pt idx="8">
                <c:v>1.7084443327280537E-6</c:v>
              </c:pt>
              <c:pt idx="9">
                <c:v>1.7084443327280537E-6</c:v>
              </c:pt>
              <c:pt idx="10">
                <c:v>1.7084443327280537E-6</c:v>
              </c:pt>
              <c:pt idx="11">
                <c:v>1.7084443327280537E-6</c:v>
              </c:pt>
              <c:pt idx="12">
                <c:v>1.7084443327280537E-6</c:v>
              </c:pt>
              <c:pt idx="13">
                <c:v>1.7084443327280537E-6</c:v>
              </c:pt>
              <c:pt idx="14">
                <c:v>1.7084443327280537E-6</c:v>
              </c:pt>
              <c:pt idx="15">
                <c:v>1.7084443327280537E-6</c:v>
              </c:pt>
              <c:pt idx="16">
                <c:v>1.7084443327280537E-6</c:v>
              </c:pt>
              <c:pt idx="17">
                <c:v>1.7084443327280537E-6</c:v>
              </c:pt>
              <c:pt idx="18">
                <c:v>1.7084443327280537E-6</c:v>
              </c:pt>
              <c:pt idx="19">
                <c:v>1.7084443327280537E-6</c:v>
              </c:pt>
              <c:pt idx="20">
                <c:v>1.7084443327280537E-6</c:v>
              </c:pt>
              <c:pt idx="21">
                <c:v>1.7084443327280537E-6</c:v>
              </c:pt>
              <c:pt idx="22">
                <c:v>1.7084443327280537E-6</c:v>
              </c:pt>
              <c:pt idx="23">
                <c:v>1.7084443327280537E-6</c:v>
              </c:pt>
              <c:pt idx="24">
                <c:v>1.7084443327280537E-6</c:v>
              </c:pt>
              <c:pt idx="25">
                <c:v>1.7084443327280537E-6</c:v>
              </c:pt>
              <c:pt idx="26">
                <c:v>1.7084443327280537E-6</c:v>
              </c:pt>
              <c:pt idx="27">
                <c:v>1.7084443327280537E-6</c:v>
              </c:pt>
              <c:pt idx="28">
                <c:v>1.7084443327280537E-6</c:v>
              </c:pt>
              <c:pt idx="29">
                <c:v>1.7084443327280537E-6</c:v>
              </c:pt>
              <c:pt idx="30">
                <c:v>1.7084443327280537E-6</c:v>
              </c:pt>
              <c:pt idx="31">
                <c:v>1.7084443327280537E-6</c:v>
              </c:pt>
              <c:pt idx="32">
                <c:v>1.7084443327280537E-6</c:v>
              </c:pt>
              <c:pt idx="33">
                <c:v>1.7084443327280537E-6</c:v>
              </c:pt>
              <c:pt idx="34">
                <c:v>1.7084443327280537E-6</c:v>
              </c:pt>
              <c:pt idx="35">
                <c:v>1.7084443327280537E-6</c:v>
              </c:pt>
              <c:pt idx="36">
                <c:v>1.7084443327280537E-6</c:v>
              </c:pt>
              <c:pt idx="37">
                <c:v>1.7084443327280537E-6</c:v>
              </c:pt>
              <c:pt idx="38">
                <c:v>1.7084443327280537E-6</c:v>
              </c:pt>
              <c:pt idx="39">
                <c:v>1.7084443327280537E-6</c:v>
              </c:pt>
              <c:pt idx="40">
                <c:v>1.7084443327280537E-6</c:v>
              </c:pt>
              <c:pt idx="41">
                <c:v>1.7084443327280537E-6</c:v>
              </c:pt>
              <c:pt idx="42">
                <c:v>1.7084443327280537E-6</c:v>
              </c:pt>
              <c:pt idx="43">
                <c:v>1.7084443327280537E-6</c:v>
              </c:pt>
              <c:pt idx="44">
                <c:v>1.7084443327280537E-6</c:v>
              </c:pt>
              <c:pt idx="45">
                <c:v>1.7084443327280537E-6</c:v>
              </c:pt>
              <c:pt idx="46">
                <c:v>1.7084443327280537E-6</c:v>
              </c:pt>
              <c:pt idx="47">
                <c:v>1.7084443327280537E-6</c:v>
              </c:pt>
              <c:pt idx="48">
                <c:v>1.7084443327280537E-6</c:v>
              </c:pt>
              <c:pt idx="49">
                <c:v>1.7084443327280537E-6</c:v>
              </c:pt>
              <c:pt idx="50">
                <c:v>1.7084443327280537E-6</c:v>
              </c:pt>
              <c:pt idx="51">
                <c:v>1.7084443327280537E-6</c:v>
              </c:pt>
              <c:pt idx="52">
                <c:v>1.7084443327280537E-6</c:v>
              </c:pt>
              <c:pt idx="53">
                <c:v>1.7084443327280537E-6</c:v>
              </c:pt>
              <c:pt idx="54">
                <c:v>1.7084443327280537E-6</c:v>
              </c:pt>
              <c:pt idx="55">
                <c:v>1.7084443327280537E-6</c:v>
              </c:pt>
              <c:pt idx="56">
                <c:v>1.7084443327280537E-6</c:v>
              </c:pt>
              <c:pt idx="57">
                <c:v>1.7084443327280537E-6</c:v>
              </c:pt>
              <c:pt idx="58">
                <c:v>1.7084443327280537E-6</c:v>
              </c:pt>
              <c:pt idx="59">
                <c:v>1.7084443327280537E-6</c:v>
              </c:pt>
              <c:pt idx="60">
                <c:v>1.7084443327280537E-6</c:v>
              </c:pt>
              <c:pt idx="61">
                <c:v>1.7084443327280537E-6</c:v>
              </c:pt>
              <c:pt idx="62">
                <c:v>1.7084443327280537E-6</c:v>
              </c:pt>
              <c:pt idx="63">
                <c:v>1.7084443327280537E-6</c:v>
              </c:pt>
              <c:pt idx="64">
                <c:v>1.7084443327280537E-6</c:v>
              </c:pt>
              <c:pt idx="65">
                <c:v>1.7084443327280537E-6</c:v>
              </c:pt>
              <c:pt idx="66">
                <c:v>1.7084443327280537E-6</c:v>
              </c:pt>
              <c:pt idx="67">
                <c:v>1.7084443327280537E-6</c:v>
              </c:pt>
              <c:pt idx="68">
                <c:v>1.7084443327280537E-6</c:v>
              </c:pt>
              <c:pt idx="69">
                <c:v>1.7084443327280537E-6</c:v>
              </c:pt>
              <c:pt idx="70">
                <c:v>1.7084443327280537E-6</c:v>
              </c:pt>
              <c:pt idx="71">
                <c:v>1.7084443327280537E-6</c:v>
              </c:pt>
              <c:pt idx="72">
                <c:v>1.7084443327280537E-6</c:v>
              </c:pt>
              <c:pt idx="73">
                <c:v>1.7084443327280537E-6</c:v>
              </c:pt>
              <c:pt idx="74">
                <c:v>1.7084443327280537E-6</c:v>
              </c:pt>
              <c:pt idx="75">
                <c:v>1.7084443327280537E-6</c:v>
              </c:pt>
              <c:pt idx="76">
                <c:v>1.7084443327280537E-6</c:v>
              </c:pt>
              <c:pt idx="77">
                <c:v>1.7084443327280537E-6</c:v>
              </c:pt>
              <c:pt idx="78">
                <c:v>1.7084443327280537E-6</c:v>
              </c:pt>
              <c:pt idx="79">
                <c:v>1.7084443327280537E-6</c:v>
              </c:pt>
              <c:pt idx="80">
                <c:v>1.7084443327280537E-6</c:v>
              </c:pt>
              <c:pt idx="81">
                <c:v>1.7084443327280537E-6</c:v>
              </c:pt>
              <c:pt idx="82">
                <c:v>1.7084443327280537E-6</c:v>
              </c:pt>
              <c:pt idx="83">
                <c:v>1.7084443327280537E-6</c:v>
              </c:pt>
              <c:pt idx="84">
                <c:v>1.7084443327280537E-6</c:v>
              </c:pt>
              <c:pt idx="85">
                <c:v>1.7084443327280537E-6</c:v>
              </c:pt>
              <c:pt idx="86">
                <c:v>1.7084443327280537E-6</c:v>
              </c:pt>
              <c:pt idx="87">
                <c:v>1.7084443327280537E-6</c:v>
              </c:pt>
              <c:pt idx="88">
                <c:v>1.7084443327280537E-6</c:v>
              </c:pt>
              <c:pt idx="89">
                <c:v>1.7084443327280537E-6</c:v>
              </c:pt>
              <c:pt idx="90">
                <c:v>1.7084443327280537E-6</c:v>
              </c:pt>
              <c:pt idx="91">
                <c:v>1.7084443327280537E-6</c:v>
              </c:pt>
              <c:pt idx="92">
                <c:v>1.7084443327280537E-6</c:v>
              </c:pt>
              <c:pt idx="93">
                <c:v>1.7084443327280537E-6</c:v>
              </c:pt>
              <c:pt idx="94">
                <c:v>1.7084443327280537E-6</c:v>
              </c:pt>
              <c:pt idx="95">
                <c:v>1.7084443327280537E-6</c:v>
              </c:pt>
              <c:pt idx="96">
                <c:v>1.7084443327280537E-6</c:v>
              </c:pt>
              <c:pt idx="97">
                <c:v>1.7084443327280537E-6</c:v>
              </c:pt>
              <c:pt idx="98">
                <c:v>1.7084443327280537E-6</c:v>
              </c:pt>
              <c:pt idx="99">
                <c:v>1.7084443327280537E-6</c:v>
              </c:pt>
            </c:numLit>
          </c:yVal>
          <c:smooth val="0"/>
          <c:extLst>
            <c:ext xmlns:c16="http://schemas.microsoft.com/office/drawing/2014/chart" uri="{C3380CC4-5D6E-409C-BE32-E72D297353CC}">
              <c16:uniqueId val="{0000002B-00B9-49E7-848D-44C16A56DB58}"/>
            </c:ext>
          </c:extLst>
        </c:ser>
        <c:ser>
          <c:idx val="4"/>
          <c:order val="4"/>
          <c:tx>
            <c:v>Total Torque</c:v>
          </c:tx>
          <c:spPr>
            <a:ln w="34925" cap="rnd">
              <a:solidFill>
                <a:schemeClr val="accent5"/>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c:v>
              </c:pt>
              <c:pt idx="2">
                <c:v>2</c:v>
              </c:pt>
              <c:pt idx="3">
                <c:v>3</c:v>
              </c:pt>
              <c:pt idx="4">
                <c:v>4</c:v>
              </c:pt>
              <c:pt idx="5">
                <c:v>5</c:v>
              </c:pt>
              <c:pt idx="6">
                <c:v>6</c:v>
              </c:pt>
              <c:pt idx="7">
                <c:v>7</c:v>
              </c:pt>
              <c:pt idx="8">
                <c:v>7</c:v>
              </c:pt>
              <c:pt idx="9">
                <c:v>8</c:v>
              </c:pt>
              <c:pt idx="10">
                <c:v>9</c:v>
              </c:pt>
              <c:pt idx="11">
                <c:v>10</c:v>
              </c:pt>
              <c:pt idx="12">
                <c:v>11</c:v>
              </c:pt>
              <c:pt idx="13">
                <c:v>12</c:v>
              </c:pt>
              <c:pt idx="14">
                <c:v>13</c:v>
              </c:pt>
              <c:pt idx="15">
                <c:v>14</c:v>
              </c:pt>
              <c:pt idx="16">
                <c:v>15</c:v>
              </c:pt>
              <c:pt idx="17">
                <c:v>16</c:v>
              </c:pt>
              <c:pt idx="18">
                <c:v>17</c:v>
              </c:pt>
              <c:pt idx="19">
                <c:v>18</c:v>
              </c:pt>
              <c:pt idx="20">
                <c:v>19</c:v>
              </c:pt>
              <c:pt idx="21">
                <c:v>20</c:v>
              </c:pt>
              <c:pt idx="22">
                <c:v>21</c:v>
              </c:pt>
              <c:pt idx="23">
                <c:v>21</c:v>
              </c:pt>
              <c:pt idx="24">
                <c:v>22</c:v>
              </c:pt>
              <c:pt idx="25">
                <c:v>23</c:v>
              </c:pt>
              <c:pt idx="26">
                <c:v>24</c:v>
              </c:pt>
              <c:pt idx="27">
                <c:v>25</c:v>
              </c:pt>
              <c:pt idx="28">
                <c:v>26</c:v>
              </c:pt>
              <c:pt idx="29">
                <c:v>27</c:v>
              </c:pt>
              <c:pt idx="30">
                <c:v>28</c:v>
              </c:pt>
              <c:pt idx="31">
                <c:v>29</c:v>
              </c:pt>
              <c:pt idx="32">
                <c:v>30</c:v>
              </c:pt>
              <c:pt idx="33">
                <c:v>31</c:v>
              </c:pt>
              <c:pt idx="34">
                <c:v>32</c:v>
              </c:pt>
              <c:pt idx="35">
                <c:v>33</c:v>
              </c:pt>
              <c:pt idx="36">
                <c:v>34</c:v>
              </c:pt>
              <c:pt idx="37">
                <c:v>35</c:v>
              </c:pt>
              <c:pt idx="38">
                <c:v>36</c:v>
              </c:pt>
              <c:pt idx="39">
                <c:v>36</c:v>
              </c:pt>
              <c:pt idx="40">
                <c:v>37</c:v>
              </c:pt>
              <c:pt idx="41">
                <c:v>38</c:v>
              </c:pt>
              <c:pt idx="42">
                <c:v>39</c:v>
              </c:pt>
              <c:pt idx="43">
                <c:v>40</c:v>
              </c:pt>
              <c:pt idx="44">
                <c:v>41</c:v>
              </c:pt>
              <c:pt idx="45">
                <c:v>42</c:v>
              </c:pt>
              <c:pt idx="46">
                <c:v>43</c:v>
              </c:pt>
              <c:pt idx="47">
                <c:v>44</c:v>
              </c:pt>
              <c:pt idx="48">
                <c:v>45</c:v>
              </c:pt>
              <c:pt idx="49">
                <c:v>46</c:v>
              </c:pt>
              <c:pt idx="50">
                <c:v>46</c:v>
              </c:pt>
              <c:pt idx="51">
                <c:v>47</c:v>
              </c:pt>
              <c:pt idx="52">
                <c:v>48</c:v>
              </c:pt>
              <c:pt idx="53">
                <c:v>49</c:v>
              </c:pt>
              <c:pt idx="54">
                <c:v>50</c:v>
              </c:pt>
              <c:pt idx="55">
                <c:v>51</c:v>
              </c:pt>
              <c:pt idx="56">
                <c:v>52</c:v>
              </c:pt>
              <c:pt idx="57">
                <c:v>53</c:v>
              </c:pt>
              <c:pt idx="58">
                <c:v>54</c:v>
              </c:pt>
              <c:pt idx="59">
                <c:v>55</c:v>
              </c:pt>
              <c:pt idx="60">
                <c:v>56</c:v>
              </c:pt>
              <c:pt idx="61">
                <c:v>56</c:v>
              </c:pt>
              <c:pt idx="62">
                <c:v>57</c:v>
              </c:pt>
              <c:pt idx="63">
                <c:v>58</c:v>
              </c:pt>
              <c:pt idx="64">
                <c:v>59</c:v>
              </c:pt>
              <c:pt idx="65">
                <c:v>60</c:v>
              </c:pt>
              <c:pt idx="66">
                <c:v>61</c:v>
              </c:pt>
              <c:pt idx="67">
                <c:v>62</c:v>
              </c:pt>
              <c:pt idx="68">
                <c:v>63</c:v>
              </c:pt>
              <c:pt idx="69">
                <c:v>64</c:v>
              </c:pt>
              <c:pt idx="70">
                <c:v>65</c:v>
              </c:pt>
              <c:pt idx="71">
                <c:v>66</c:v>
              </c:pt>
              <c:pt idx="72">
                <c:v>67</c:v>
              </c:pt>
              <c:pt idx="73">
                <c:v>68</c:v>
              </c:pt>
              <c:pt idx="74">
                <c:v>69</c:v>
              </c:pt>
              <c:pt idx="75">
                <c:v>70</c:v>
              </c:pt>
              <c:pt idx="76">
                <c:v>70</c:v>
              </c:pt>
              <c:pt idx="77">
                <c:v>71</c:v>
              </c:pt>
              <c:pt idx="78">
                <c:v>72</c:v>
              </c:pt>
              <c:pt idx="79">
                <c:v>73</c:v>
              </c:pt>
              <c:pt idx="80">
                <c:v>74</c:v>
              </c:pt>
              <c:pt idx="81">
                <c:v>75</c:v>
              </c:pt>
              <c:pt idx="82">
                <c:v>76</c:v>
              </c:pt>
              <c:pt idx="83">
                <c:v>77</c:v>
              </c:pt>
              <c:pt idx="84">
                <c:v>78</c:v>
              </c:pt>
              <c:pt idx="85">
                <c:v>79</c:v>
              </c:pt>
              <c:pt idx="86">
                <c:v>80</c:v>
              </c:pt>
              <c:pt idx="87">
                <c:v>81</c:v>
              </c:pt>
              <c:pt idx="88">
                <c:v>82</c:v>
              </c:pt>
              <c:pt idx="89">
                <c:v>83</c:v>
              </c:pt>
              <c:pt idx="90">
                <c:v>84</c:v>
              </c:pt>
              <c:pt idx="91">
                <c:v>84</c:v>
              </c:pt>
              <c:pt idx="92">
                <c:v>85</c:v>
              </c:pt>
              <c:pt idx="93">
                <c:v>86</c:v>
              </c:pt>
              <c:pt idx="94">
                <c:v>87</c:v>
              </c:pt>
              <c:pt idx="95">
                <c:v>88</c:v>
              </c:pt>
              <c:pt idx="96">
                <c:v>89</c:v>
              </c:pt>
              <c:pt idx="97">
                <c:v>90</c:v>
              </c:pt>
              <c:pt idx="98">
                <c:v>91</c:v>
              </c:pt>
              <c:pt idx="99">
                <c:v>92</c:v>
              </c:pt>
            </c:numLit>
          </c:xVal>
          <c:yVal>
            <c:numLit>
              <c:formatCode>General</c:formatCode>
              <c:ptCount val="100"/>
              <c:pt idx="0">
                <c:v>1.9163225654495589E-4</c:v>
              </c:pt>
              <c:pt idx="1">
                <c:v>1.9167236459676854E-4</c:v>
              </c:pt>
              <c:pt idx="2">
                <c:v>1.9179166395307589E-4</c:v>
              </c:pt>
              <c:pt idx="3">
                <c:v>1.9198713846166191E-4</c:v>
              </c:pt>
              <c:pt idx="4">
                <c:v>1.9225394747097589E-4</c:v>
              </c:pt>
              <c:pt idx="5">
                <c:v>1.9258567958232894E-4</c:v>
              </c:pt>
              <c:pt idx="6">
                <c:v>1.9297466284129016E-4</c:v>
              </c:pt>
              <c:pt idx="7">
                <c:v>1.9341229858263028E-4</c:v>
              </c:pt>
              <c:pt idx="8">
                <c:v>1.9388938958665817E-4</c:v>
              </c:pt>
              <c:pt idx="9">
                <c:v>1.9439644039897876E-4</c:v>
              </c:pt>
              <c:pt idx="10">
                <c:v>1.9492391620623293E-4</c:v>
              </c:pt>
              <c:pt idx="11">
                <c:v>1.9546245457466305E-4</c:v>
              </c:pt>
              <c:pt idx="12">
                <c:v>1.9600303049220488E-4</c:v>
              </c:pt>
              <c:pt idx="13">
                <c:v>1.9653707915354542E-4</c:v>
              </c:pt>
              <c:pt idx="14">
                <c:v>1.9705658299167913E-4</c:v>
              </c:pt>
              <c:pt idx="15">
                <c:v>1.9755413005791272E-4</c:v>
              </c:pt>
              <c:pt idx="16">
                <c:v>1.9802295050177574E-4</c:v>
              </c:pt>
              <c:pt idx="17">
                <c:v>1.9845693704270744E-4</c:v>
              </c:pt>
              <c:pt idx="18">
                <c:v>1.988506542745794E-4</c:v>
              </c:pt>
              <c:pt idx="19">
                <c:v>1.991993406016781E-4</c:v>
              </c:pt>
              <c:pt idx="20">
                <c:v>1.9949890567725421E-4</c:v>
              </c:pt>
              <c:pt idx="21">
                <c:v>1.9974592544601188E-4</c:v>
              </c:pt>
              <c:pt idx="22">
                <c:v>1.9993763628421436E-4</c:v>
              </c:pt>
              <c:pt idx="23">
                <c:v>2.000719292692751E-4</c:v>
              </c:pt>
              <c:pt idx="24">
                <c:v>2.0014734526996062E-4</c:v>
              </c:pt>
              <c:pt idx="25">
                <c:v>2.0016307130182062E-4</c:v>
              </c:pt>
              <c:pt idx="26">
                <c:v>2.0011893841463181E-4</c:v>
              </c:pt>
              <c:pt idx="27">
                <c:v>2.0001542124631463E-4</c:v>
              </c:pt>
              <c:pt idx="28">
                <c:v>1.9985363927000737E-4</c:v>
              </c:pt>
              <c:pt idx="29">
                <c:v>1.9963535965823406E-4</c:v>
              </c:pt>
              <c:pt idx="30">
                <c:v>1.9936300157116774E-4</c:v>
              </c:pt>
              <c:pt idx="31">
                <c:v>1.9903964152478734E-4</c:v>
              </c:pt>
              <c:pt idx="32">
                <c:v>1.9866901928732711E-4</c:v>
              </c:pt>
              <c:pt idx="33">
                <c:v>1.9825554346446391E-4</c:v>
              </c:pt>
              <c:pt idx="34">
                <c:v>1.9780429553878492E-4</c:v>
              </c:pt>
              <c:pt idx="35">
                <c:v>1.9732103060075905E-4</c:v>
              </c:pt>
              <c:pt idx="36">
                <c:v>1.9681217232489284E-4</c:v>
              </c:pt>
              <c:pt idx="37">
                <c:v>1.9628479889769953E-4</c:v>
              </c:pt>
              <c:pt idx="38">
                <c:v>1.9574661561342916E-4</c:v>
              </c:pt>
              <c:pt idx="39">
                <c:v>1.9520590878880435E-4</c:v>
              </c:pt>
              <c:pt idx="40">
                <c:v>1.946714746563191E-4</c:v>
              </c:pt>
              <c:pt idx="41">
                <c:v>1.9415251623040581E-4</c:v>
              </c:pt>
              <c:pt idx="42">
                <c:v>1.9365850117952194E-4</c:v>
              </c:pt>
              <c:pt idx="43">
                <c:v>1.9319897496614935E-4</c:v>
              </c:pt>
              <c:pt idx="44">
                <c:v>1.9278332645128964E-4</c:v>
              </c:pt>
              <c:pt idx="45">
                <c:v>1.9242050817481799E-4</c:v>
              </c:pt>
              <c:pt idx="46">
                <c:v>1.9211872059153519E-4</c:v>
              </c:pt>
              <c:pt idx="47">
                <c:v>1.9188507795208317E-4</c:v>
              </c:pt>
              <c:pt idx="48">
                <c:v>1.9172528170597242E-4</c:v>
              </c:pt>
              <c:pt idx="49">
                <c:v>1.9164333301622936E-4</c:v>
              </c:pt>
              <c:pt idx="50">
                <c:v>1.9164131686829592E-4</c:v>
              </c:pt>
              <c:pt idx="51">
                <c:v>1.9171928484515804E-4</c:v>
              </c:pt>
              <c:pt idx="52">
                <c:v>1.9187525218567733E-4</c:v>
              </c:pt>
              <c:pt idx="53">
                <c:v>1.9210530952612744E-4</c:v>
              </c:pt>
              <c:pt idx="54">
                <c:v>1.9240383440917409E-4</c:v>
              </c:pt>
              <c:pt idx="55">
                <c:v>1.9276377593050001E-4</c:v>
              </c:pt>
              <c:pt idx="56">
                <c:v>1.9317698015573068E-4</c:v>
              </c:pt>
              <c:pt idx="57">
                <c:v>1.9363452454077628E-4</c:v>
              </c:pt>
              <c:pt idx="58">
                <c:v>1.9412703511187304E-4</c:v>
              </c:pt>
              <c:pt idx="59">
                <c:v>1.9464496828309436E-4</c:v>
              </c:pt>
              <c:pt idx="60">
                <c:v>1.9517884763168796E-4</c:v>
              </c:pt>
              <c:pt idx="61">
                <c:v>1.9571945311119211E-4</c:v>
              </c:pt>
              <c:pt idx="62">
                <c:v>1.9625796530544284E-4</c:v>
              </c:pt>
              <c:pt idx="63">
                <c:v>1.9678607035886577E-4</c:v>
              </c:pt>
              <c:pt idx="64">
                <c:v>1.9729603252105691E-4</c:v>
              </c:pt>
              <c:pt idx="65">
                <c:v>1.9778074132987495E-4</c:v>
              </c:pt>
              <c:pt idx="66">
                <c:v>1.9823373981731312E-4</c:v>
              </c:pt>
              <c:pt idx="67">
                <c:v>1.9864923914008129E-4</c:v>
              </c:pt>
              <c:pt idx="68">
                <c:v>1.9902212397151077E-4</c:v>
              </c:pt>
              <c:pt idx="69">
                <c:v>1.9934795199481149E-4</c:v>
              </c:pt>
              <c:pt idx="70">
                <c:v>1.9962294998265615E-4</c:v>
              </c:pt>
              <c:pt idx="71">
                <c:v>1.9984400825634775E-4</c:v>
              </c:pt>
              <c:pt idx="72">
                <c:v>2.0000867478216415E-4</c:v>
              </c:pt>
              <c:pt idx="73">
                <c:v>2.0011514976148534E-4</c:v>
              </c:pt>
              <c:pt idx="74">
                <c:v>2.001622812786328E-4</c:v>
              </c:pt>
              <c:pt idx="75">
                <c:v>2.0014956235950103E-4</c:v>
              </c:pt>
              <c:pt idx="76">
                <c:v>2.0007712964058248E-4</c:v>
              </c:pt>
              <c:pt idx="77">
                <c:v>1.9994576372982042E-4</c:v>
              </c:pt>
              <c:pt idx="78">
                <c:v>1.9975689123772434E-4</c:v>
              </c:pt>
              <c:pt idx="79">
                <c:v>1.9951258835011984E-4</c:v>
              </c:pt>
              <c:pt idx="80">
                <c:v>1.9921558568329232E-4</c:v>
              </c:pt>
              <c:pt idx="81">
                <c:v>1.9886927398727363E-4</c:v>
              </c:pt>
              <c:pt idx="82">
                <c:v>1.9847771002054812E-4</c:v>
              </c:pt>
              <c:pt idx="83">
                <c:v>1.9804562158408403E-4</c:v>
              </c:pt>
              <c:pt idx="84">
                <c:v>1.9757841024749256E-4</c:v>
              </c:pt>
              <c:pt idx="85">
                <c:v>1.9708214970024841E-4</c:v>
              </c:pt>
              <c:pt idx="86">
                <c:v>1.9656357689943132E-4</c:v>
              </c:pt>
              <c:pt idx="87">
                <c:v>1.9603007226525249E-4</c:v>
              </c:pt>
              <c:pt idx="88">
                <c:v>1.9548962413706709E-4</c:v>
              </c:pt>
              <c:pt idx="89">
                <c:v>1.9495077164832471E-4</c:v>
              </c:pt>
              <c:pt idx="90">
                <c:v>1.9442251930319534E-4</c:v>
              </c:pt>
              <c:pt idx="91">
                <c:v>1.9391421615200718E-4</c:v>
              </c:pt>
              <c:pt idx="92">
                <c:v>1.9343539300136994E-4</c:v>
              </c:pt>
              <c:pt idx="93">
                <c:v>1.9299555307302881E-4</c:v>
              </c:pt>
              <c:pt idx="94">
                <c:v>1.926039154189546E-4</c:v>
              </c:pt>
              <c:pt idx="95">
                <c:v>1.9226911642944384E-4</c:v>
              </c:pt>
              <c:pt idx="96">
                <c:v>1.9199888261611092E-4</c:v>
              </c:pt>
              <c:pt idx="97">
                <c:v>1.9179969640173365E-4</c:v>
              </c:pt>
              <c:pt idx="98">
                <c:v>1.9167648396714498E-4</c:v>
              </c:pt>
              <c:pt idx="99">
                <c:v>1.9163235789264476E-4</c:v>
              </c:pt>
            </c:numLit>
          </c:yVal>
          <c:smooth val="0"/>
          <c:extLst>
            <c:ext xmlns:c16="http://schemas.microsoft.com/office/drawing/2014/chart" uri="{C3380CC4-5D6E-409C-BE32-E72D297353CC}">
              <c16:uniqueId val="{0000002C-00B9-49E7-848D-44C16A56DB58}"/>
            </c:ext>
          </c:extLst>
        </c:ser>
        <c:dLbls>
          <c:showLegendKey val="0"/>
          <c:showVal val="0"/>
          <c:showCatName val="0"/>
          <c:showSerName val="0"/>
          <c:showPercent val="0"/>
          <c:showBubbleSize val="0"/>
        </c:dLbls>
        <c:axId val="798553320"/>
        <c:axId val="798554632"/>
      </c:scatterChart>
      <c:valAx>
        <c:axId val="798553320"/>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Time[Min]</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98554632"/>
        <c:crosses val="autoZero"/>
        <c:crossBetween val="midCat"/>
      </c:valAx>
      <c:valAx>
        <c:axId val="798554632"/>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N-m</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79855332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138A-47FC-8A3D-20A5975B65D5}"/>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138A-47FC-8A3D-20A5975B65D5}"/>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138A-47FC-8A3D-20A5975B65D5}"/>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t>
        <a:bodyPr/>
        <a:lstStyle/>
        <a:p>
          <a:endParaRPr lang="en-US"/>
        </a:p>
      </dgm:t>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t>
        <a:bodyPr/>
        <a:lstStyle/>
        <a:p>
          <a:endParaRPr lang="en-US"/>
        </a:p>
      </dgm:t>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t>
        <a:bodyPr/>
        <a:lstStyle/>
        <a:p>
          <a:endParaRPr lang="en-US"/>
        </a:p>
      </dgm:t>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t>
        <a:bodyPr/>
        <a:lstStyle/>
        <a:p>
          <a:endParaRPr lang="en-US"/>
        </a:p>
      </dgm:t>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t>
        <a:bodyPr/>
        <a:lstStyle/>
        <a:p>
          <a:endParaRPr lang="en-US"/>
        </a:p>
      </dgm:t>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t>
        <a:bodyPr/>
        <a:lstStyle/>
        <a:p>
          <a:endParaRPr lang="en-US"/>
        </a:p>
      </dgm:t>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t>
        <a:bodyPr/>
        <a:lstStyle/>
        <a:p>
          <a:endParaRPr lang="en-US"/>
        </a:p>
      </dgm:t>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t>
        <a:bodyPr/>
        <a:lstStyle/>
        <a:p>
          <a:endParaRPr lang="en-US"/>
        </a:p>
      </dgm:t>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t>
        <a:bodyPr/>
        <a:lstStyle/>
        <a:p>
          <a:endParaRPr lang="en-US"/>
        </a:p>
      </dgm:t>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t>
        <a:bodyPr/>
        <a:lstStyle/>
        <a:p>
          <a:endParaRPr lang="en-US"/>
        </a:p>
      </dgm:t>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t>
        <a:bodyPr/>
        <a:lstStyle/>
        <a:p>
          <a:endParaRPr lang="en-US"/>
        </a:p>
      </dgm:t>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t>
        <a:bodyPr/>
        <a:lstStyle/>
        <a:p>
          <a:endParaRPr lang="en-US"/>
        </a:p>
      </dgm:t>
    </dgm:pt>
    <dgm:pt modelId="{394CE9F0-BC87-467D-9DEA-8BFF3DCB5242}" type="pres">
      <dgm:prSet presAssocID="{5FA9ACC2-E1DA-4FC0-BDF7-01D6332DA02E}" presName="hierChild4" presStyleCnt="0"/>
      <dgm:spPr/>
    </dgm:pt>
  </dgm:ptLst>
  <dgm:cxnLst>
    <dgm:cxn modelId="{F490AF73-43EB-4319-B7AF-FADB4E0771A4}" type="presOf" srcId="{92E9788D-3B23-4B6C-995A-7778D4AC8E10}" destId="{41B01B65-88F7-4158-BFC4-30E0EF0E5D42}"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EDF0B1E6-6948-49A3-BE0B-508F6728F6F2}" type="presOf" srcId="{6A07B9C6-4160-455E-8C74-72F18E901367}" destId="{41289680-632B-42A4-BCE5-4C20A233DA8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CD8F3423-FCF2-4185-B764-13EE759361BA}" type="presOf" srcId="{E9667564-14AD-45D3-ACD8-C1ABCCBCC63E}" destId="{9F781E3E-3DC2-4767-882E-70745A7F3EC5}" srcOrd="0" destOrd="0" presId="urn:microsoft.com/office/officeart/2009/layout/CirclePictureHierarchy"/>
    <dgm:cxn modelId="{BC852D4C-3A6E-455F-9FA5-08D3D8E73CAA}" srcId="{E9667564-14AD-45D3-ACD8-C1ABCCBCC63E}" destId="{6A07B9C6-4160-455E-8C74-72F18E901367}" srcOrd="0" destOrd="0" parTransId="{D12E1C3C-E60F-4DB2-B574-8BF0636F23C6}" sibTransId="{4A84A777-7845-4F2B-80FF-4CA141BEC0D8}"/>
    <dgm:cxn modelId="{F5CF10D8-5D8F-4731-9DA2-5A96401441DE}" srcId="{B818A29B-1AD6-44C3-9273-13235861DD41}" destId="{5FA9ACC2-E1DA-4FC0-BDF7-01D6332DA02E}" srcOrd="0" destOrd="0" parTransId="{C7FF01E2-BA5D-4E8E-97F7-C615D0DF98F8}" sibTransId="{52E1DEF9-2D8A-4EFE-BA82-C7F4E6A81D0C}"/>
    <dgm:cxn modelId="{1AED4339-CE92-4CDE-8451-5FBBAB0269F1}" srcId="{6A07B9C6-4160-455E-8C74-72F18E901367}" destId="{9DAACB1A-536C-4D6D-BFDC-D39639F80174}" srcOrd="1" destOrd="0" parTransId="{92E9788D-3B23-4B6C-995A-7778D4AC8E10}" sibTransId="{B4C9E62B-44F1-4FCA-AEDB-B576BD615C54}"/>
    <dgm:cxn modelId="{966FE45F-4827-4DA0-807A-67872EF4D582}" type="presOf" srcId="{664B6403-71A3-4A6B-B058-991FE51306E9}" destId="{C7C737C7-06D8-49B6-8471-838B1324602B}" srcOrd="0" destOrd="0" presId="urn:microsoft.com/office/officeart/2009/layout/CirclePictureHierarchy"/>
    <dgm:cxn modelId="{D750873F-D599-49FF-92CD-DE1E3473E623}" srcId="{94C7FDD0-AAD2-419C-AFC9-BBBE6FC36DB3}" destId="{E9667564-14AD-45D3-ACD8-C1ABCCBCC63E}" srcOrd="0" destOrd="0" parTransId="{90463D30-C616-4947-BC17-7590517A7167}" sibTransId="{99978BF7-BFAD-4259-8CD5-F930CF966C34}"/>
    <dgm:cxn modelId="{9350AD66-C4E4-4508-A764-B36EE51D352C}" type="presOf" srcId="{575E53D2-A59E-4C85-8F59-481525832D97}" destId="{CE07A075-C6A1-4671-9E47-E00AACDC435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1AA4B005-4E6D-42EE-ADB2-27DFCD8DE4FC}" srcId="{6A07B9C6-4160-455E-8C74-72F18E901367}" destId="{664B6403-71A3-4A6B-B058-991FE51306E9}" srcOrd="0" destOrd="0" parTransId="{E56C7C4E-AC5E-4B58-889C-C4F9F4F6EC69}" sibTransId="{81BE5DF3-4CD0-4787-BBD6-95FFE8CE7B8F}"/>
    <dgm:cxn modelId="{DCEAED7D-9FD1-4EC1-AE5B-CDE4CF4E662C}" type="presOf" srcId="{D12E1C3C-E60F-4DB2-B574-8BF0636F23C6}" destId="{0BD93774-5544-47E6-A145-4356ABA9BBD9}"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3383280" y="1658064"/>
          <a:ext cx="91440" cy="180022"/>
        </a:xfrm>
        <a:custGeom>
          <a:avLst/>
          <a:gdLst/>
          <a:ahLst/>
          <a:cxnLst/>
          <a:rect l="0" t="0" r="0" b="0"/>
          <a:pathLst>
            <a:path>
              <a:moveTo>
                <a:pt x="45720" y="0"/>
              </a:moveTo>
              <a:lnTo>
                <a:pt x="4572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2250281" y="906541"/>
          <a:ext cx="1178718" cy="180022"/>
        </a:xfrm>
        <a:custGeom>
          <a:avLst/>
          <a:gdLst/>
          <a:ahLst/>
          <a:cxnLst/>
          <a:rect l="0" t="0" r="0" b="0"/>
          <a:pathLst>
            <a:path>
              <a:moveTo>
                <a:pt x="0" y="0"/>
              </a:moveTo>
              <a:lnTo>
                <a:pt x="0" y="90725"/>
              </a:lnTo>
              <a:lnTo>
                <a:pt x="1178718" y="90725"/>
              </a:lnTo>
              <a:lnTo>
                <a:pt x="1178718"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1071562" y="1658064"/>
          <a:ext cx="785812" cy="180022"/>
        </a:xfrm>
        <a:custGeom>
          <a:avLst/>
          <a:gdLst/>
          <a:ahLst/>
          <a:cxnLst/>
          <a:rect l="0" t="0" r="0" b="0"/>
          <a:pathLst>
            <a:path>
              <a:moveTo>
                <a:pt x="0" y="0"/>
              </a:moveTo>
              <a:lnTo>
                <a:pt x="0" y="90725"/>
              </a:lnTo>
              <a:lnTo>
                <a:pt x="785812" y="90725"/>
              </a:lnTo>
              <a:lnTo>
                <a:pt x="785812"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85749" y="1658064"/>
          <a:ext cx="785812" cy="180022"/>
        </a:xfrm>
        <a:custGeom>
          <a:avLst/>
          <a:gdLst/>
          <a:ahLst/>
          <a:cxnLst/>
          <a:rect l="0" t="0" r="0" b="0"/>
          <a:pathLst>
            <a:path>
              <a:moveTo>
                <a:pt x="785812" y="0"/>
              </a:moveTo>
              <a:lnTo>
                <a:pt x="785812" y="90725"/>
              </a:lnTo>
              <a:lnTo>
                <a:pt x="0" y="90725"/>
              </a:lnTo>
              <a:lnTo>
                <a:pt x="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1071562" y="906541"/>
          <a:ext cx="1178718" cy="180022"/>
        </a:xfrm>
        <a:custGeom>
          <a:avLst/>
          <a:gdLst/>
          <a:ahLst/>
          <a:cxnLst/>
          <a:rect l="0" t="0" r="0" b="0"/>
          <a:pathLst>
            <a:path>
              <a:moveTo>
                <a:pt x="1178718" y="0"/>
              </a:moveTo>
              <a:lnTo>
                <a:pt x="1178718" y="90725"/>
              </a:lnTo>
              <a:lnTo>
                <a:pt x="0" y="90725"/>
              </a:lnTo>
              <a:lnTo>
                <a:pt x="0"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964531" y="335041"/>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536031" y="333613"/>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536031" y="333613"/>
        <a:ext cx="857250" cy="571499"/>
      </dsp:txXfrm>
    </dsp:sp>
    <dsp:sp modelId="{BA7709C3-4A7D-4077-B8D4-23D52909BE2B}">
      <dsp:nvSpPr>
        <dsp:cNvPr id="0" name=""/>
        <dsp:cNvSpPr/>
      </dsp:nvSpPr>
      <dsp:spPr>
        <a:xfrm>
          <a:off x="785812"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357312"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1357312" y="1085135"/>
        <a:ext cx="857250" cy="571499"/>
      </dsp:txXfrm>
    </dsp:sp>
    <dsp:sp modelId="{D5E7A8B0-6A3A-4D79-A0D2-3741B750C434}">
      <dsp:nvSpPr>
        <dsp:cNvPr id="0" name=""/>
        <dsp:cNvSpPr/>
      </dsp:nvSpPr>
      <dsp:spPr>
        <a:xfrm>
          <a:off x="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71499"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571499" y="1836658"/>
        <a:ext cx="857250" cy="571499"/>
      </dsp:txXfrm>
    </dsp:sp>
    <dsp:sp modelId="{B723AF5F-FDBC-4CAD-B15D-2D38F9A0770C}">
      <dsp:nvSpPr>
        <dsp:cNvPr id="0" name=""/>
        <dsp:cNvSpPr/>
      </dsp:nvSpPr>
      <dsp:spPr>
        <a:xfrm>
          <a:off x="1571624"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2143125"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143125" y="1836658"/>
        <a:ext cx="857250" cy="571499"/>
      </dsp:txXfrm>
    </dsp:sp>
    <dsp:sp modelId="{0E01F25D-3137-42B4-8BD4-03972C203C14}">
      <dsp:nvSpPr>
        <dsp:cNvPr id="0" name=""/>
        <dsp:cNvSpPr/>
      </dsp:nvSpPr>
      <dsp:spPr>
        <a:xfrm>
          <a:off x="3143250"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714750"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085135"/>
        <a:ext cx="857250" cy="571499"/>
      </dsp:txXfrm>
    </dsp:sp>
    <dsp:sp modelId="{62585ED3-DD1F-468F-8727-16492DB18598}">
      <dsp:nvSpPr>
        <dsp:cNvPr id="0" name=""/>
        <dsp:cNvSpPr/>
      </dsp:nvSpPr>
      <dsp:spPr>
        <a:xfrm>
          <a:off x="314325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714750"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836658"/>
        <a:ext cx="857250" cy="571499"/>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chart" Target="../charts/chart1.xml"/><Relationship Id="rId2" Type="http://schemas.openxmlformats.org/officeDocument/2006/relationships/image" Target="../media/image6.wmf"/><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drawing7.xml.rels><?xml version="1.0" encoding="UTF-8" standalone="yes"?>
<Relationships xmlns="http://schemas.openxmlformats.org/package/2006/relationships"><Relationship Id="rId1" Type="http://schemas.openxmlformats.org/officeDocument/2006/relationships/chart" Target="../charts/chart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9525</xdr:colOff>
          <xdr:row>3</xdr:row>
          <xdr:rowOff>9525</xdr:rowOff>
        </xdr:from>
        <xdr:to>
          <xdr:col>17</xdr:col>
          <xdr:colOff>95250</xdr:colOff>
          <xdr:row>39</xdr:row>
          <xdr:rowOff>9525</xdr:rowOff>
        </xdr:to>
        <xdr:sp macro="" textlink="">
          <xdr:nvSpPr>
            <xdr:cNvPr id="38913" name="Object 1" hidden="1">
              <a:extLst>
                <a:ext uri="{63B3BB69-23CF-44E3-9099-C40C66FF867C}">
                  <a14:compatExt spid="_x0000_s38913"/>
                </a:ext>
                <a:ext uri="{FF2B5EF4-FFF2-40B4-BE49-F238E27FC236}">
                  <a16:creationId xmlns:a16="http://schemas.microsoft.com/office/drawing/2014/main" id="{00000000-0008-0000-0000-0000019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20</xdr:col>
      <xdr:colOff>356167</xdr:colOff>
      <xdr:row>2</xdr:row>
      <xdr:rowOff>88043</xdr:rowOff>
    </xdr:from>
    <xdr:to>
      <xdr:col>29</xdr:col>
      <xdr:colOff>376670</xdr:colOff>
      <xdr:row>10</xdr:row>
      <xdr:rowOff>23008</xdr:rowOff>
    </xdr:to>
    <xdr:pic>
      <xdr:nvPicPr>
        <xdr:cNvPr id="2" name="Picture 1">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24167" y="411893"/>
          <a:ext cx="4821103" cy="1230365"/>
        </a:xfrm>
        <a:prstGeom prst="rect">
          <a:avLst/>
        </a:prstGeom>
      </xdr:spPr>
    </xdr:pic>
    <xdr:clientData/>
  </xdr:twoCellAnchor>
  <xdr:twoCellAnchor>
    <xdr:from>
      <xdr:col>22</xdr:col>
      <xdr:colOff>292150</xdr:colOff>
      <xdr:row>11</xdr:row>
      <xdr:rowOff>105430</xdr:rowOff>
    </xdr:from>
    <xdr:to>
      <xdr:col>26</xdr:col>
      <xdr:colOff>7648</xdr:colOff>
      <xdr:row>15</xdr:row>
      <xdr:rowOff>156967</xdr:rowOff>
    </xdr:to>
    <xdr:pic>
      <xdr:nvPicPr>
        <xdr:cNvPr id="3" name="Picture 2"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026950" y="1886605"/>
          <a:ext cx="1849098" cy="699237"/>
        </a:xfrm>
        <a:prstGeom prst="rect">
          <a:avLst/>
        </a:prstGeom>
      </xdr:spPr>
    </xdr:pic>
    <xdr:clientData/>
  </xdr:twoCellAnchor>
  <xdr:twoCellAnchor>
    <xdr:from>
      <xdr:col>10</xdr:col>
      <xdr:colOff>493013</xdr:colOff>
      <xdr:row>6</xdr:row>
      <xdr:rowOff>71827</xdr:rowOff>
    </xdr:from>
    <xdr:to>
      <xdr:col>16</xdr:col>
      <xdr:colOff>457275</xdr:colOff>
      <xdr:row>15</xdr:row>
      <xdr:rowOff>55243</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827013" y="1043377"/>
          <a:ext cx="3164662" cy="1440741"/>
        </a:xfrm>
        <a:prstGeom prst="rect">
          <a:avLst/>
        </a:prstGeom>
      </xdr:spPr>
    </xdr:pic>
    <xdr:clientData/>
  </xdr:twoCellAnchor>
  <xdr:twoCellAnchor>
    <xdr:from>
      <xdr:col>0</xdr:col>
      <xdr:colOff>0</xdr:colOff>
      <xdr:row>25</xdr:row>
      <xdr:rowOff>161278</xdr:rowOff>
    </xdr:from>
    <xdr:to>
      <xdr:col>30</xdr:col>
      <xdr:colOff>214053</xdr:colOff>
      <xdr:row>35</xdr:row>
      <xdr:rowOff>145003</xdr:rowOff>
    </xdr:to>
    <xdr:sp macro="" textlink="">
      <xdr:nvSpPr>
        <xdr:cNvPr id="5" name="TextBox 4">
          <a:extLst>
            <a:ext uri="{FF2B5EF4-FFF2-40B4-BE49-F238E27FC236}">
              <a16:creationId xmlns:a16="http://schemas.microsoft.com/office/drawing/2014/main" id="{00000000-0008-0000-2000-000006000000}"/>
            </a:ext>
          </a:extLst>
        </xdr:cNvPr>
        <xdr:cNvSpPr txBox="1"/>
      </xdr:nvSpPr>
      <xdr:spPr>
        <a:xfrm>
          <a:off x="0" y="4209403"/>
          <a:ext cx="16216053" cy="1602975"/>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 Concurrent Design Facility</a:t>
          </a:r>
        </a:p>
        <a:p>
          <a:pPr algn="ctr"/>
          <a:r>
            <a:rPr lang="en-GB" sz="6600" b="1">
              <a:solidFill>
                <a:schemeClr val="bg1"/>
              </a:solidFill>
            </a:rPr>
            <a:t>Attitude</a:t>
          </a:r>
          <a:r>
            <a:rPr lang="en-GB" sz="6600" b="1" baseline="0">
              <a:solidFill>
                <a:schemeClr val="bg1"/>
              </a:solidFill>
            </a:rPr>
            <a:t> Determination and Control</a:t>
          </a:r>
          <a:r>
            <a:rPr lang="en-GB" sz="6600" b="1">
              <a:solidFill>
                <a:schemeClr val="bg1"/>
              </a:solidFill>
            </a:rPr>
            <a:t> </a:t>
          </a:r>
        </a:p>
      </xdr:txBody>
    </xdr:sp>
    <xdr:clientData/>
  </xdr:twoCellAnchor>
  <xdr:twoCellAnchor>
    <xdr:from>
      <xdr:col>0</xdr:col>
      <xdr:colOff>0</xdr:colOff>
      <xdr:row>0</xdr:row>
      <xdr:rowOff>0</xdr:rowOff>
    </xdr:from>
    <xdr:to>
      <xdr:col>30</xdr:col>
      <xdr:colOff>165918</xdr:colOff>
      <xdr:row>60</xdr:row>
      <xdr:rowOff>67109</xdr:rowOff>
    </xdr:to>
    <xdr:grpSp>
      <xdr:nvGrpSpPr>
        <xdr:cNvPr id="6" name="Group 5"/>
        <xdr:cNvGrpSpPr/>
      </xdr:nvGrpSpPr>
      <xdr:grpSpPr>
        <a:xfrm>
          <a:off x="0" y="0"/>
          <a:ext cx="16086275" cy="9864252"/>
          <a:chOff x="48491" y="51954"/>
          <a:chExt cx="16372025" cy="10144486"/>
        </a:xfrm>
      </xdr:grpSpPr>
      <xdr:grpSp>
        <xdr:nvGrpSpPr>
          <xdr:cNvPr id="7" name="Group 6"/>
          <xdr:cNvGrpSpPr/>
        </xdr:nvGrpSpPr>
        <xdr:grpSpPr>
          <a:xfrm>
            <a:off x="48491" y="51954"/>
            <a:ext cx="16372025" cy="10144486"/>
            <a:chOff x="0" y="370644"/>
            <a:chExt cx="17134608" cy="9783930"/>
          </a:xfrm>
        </xdr:grpSpPr>
        <xdr:grpSp>
          <xdr:nvGrpSpPr>
            <xdr:cNvPr id="9" name="Group 8"/>
            <xdr:cNvGrpSpPr/>
          </xdr:nvGrpSpPr>
          <xdr:grpSpPr>
            <a:xfrm>
              <a:off x="0" y="370644"/>
              <a:ext cx="17116598" cy="9783930"/>
              <a:chOff x="0" y="370644"/>
              <a:chExt cx="17116598" cy="9783930"/>
            </a:xfrm>
          </xdr:grpSpPr>
          <xdr:sp macro="" textlink="">
            <xdr:nvSpPr>
              <xdr:cNvPr id="11" name="Rectangle 10">
                <a:extLst>
                  <a:ext uri="{FF2B5EF4-FFF2-40B4-BE49-F238E27FC236}">
                    <a16:creationId xmlns:a16="http://schemas.microsoft.com/office/drawing/2014/main" id="{00000000-0008-0000-2000-000002000000}"/>
                  </a:ext>
                </a:extLst>
              </xdr:cNvPr>
              <xdr:cNvSpPr/>
            </xdr:nvSpPr>
            <xdr:spPr>
              <a:xfrm>
                <a:off x="0" y="370644"/>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12" name="Picture 11"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13" name="Group 12"/>
              <xdr:cNvGrpSpPr>
                <a:grpSpLocks noChangeAspect="1"/>
              </xdr:cNvGrpSpPr>
            </xdr:nvGrpSpPr>
            <xdr:grpSpPr>
              <a:xfrm>
                <a:off x="1200726" y="802517"/>
                <a:ext cx="2937929" cy="1524000"/>
                <a:chOff x="9020175" y="9034207"/>
                <a:chExt cx="1526176" cy="972344"/>
              </a:xfrm>
            </xdr:grpSpPr>
            <xdr:sp macro="" textlink="">
              <xdr:nvSpPr>
                <xdr:cNvPr id="15" name="Rectangle 14"/>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6" name="Picture 15" descr="CDF Logo.png"/>
                <xdr:cNvPicPr>
                  <a:picLocks noChangeAspect="1"/>
                </xdr:cNvPicPr>
              </xdr:nvPicPr>
              <xdr:blipFill>
                <a:blip xmlns:r="http://schemas.openxmlformats.org/officeDocument/2006/relationships" r:embed="rId4" cstate="print"/>
                <a:stretch>
                  <a:fillRect/>
                </a:stretch>
              </xdr:blipFill>
              <xdr:spPr>
                <a:xfrm>
                  <a:off x="9097001" y="9081833"/>
                  <a:ext cx="1449350" cy="890649"/>
                </a:xfrm>
                <a:prstGeom prst="rect">
                  <a:avLst/>
                </a:prstGeom>
              </xdr:spPr>
            </xdr:pic>
          </xdr:grpSp>
          <xdr:pic>
            <xdr:nvPicPr>
              <xdr:cNvPr id="14" name="Picture 1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10" name="TextBox 7">
              <a:extLst>
                <a:ext uri="{FF2B5EF4-FFF2-40B4-BE49-F238E27FC236}">
                  <a16:creationId xmlns:a16="http://schemas.microsoft.com/office/drawing/2014/main" id="{00000000-0008-0000-2000-000006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Communications</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8" name="TextBox 7">
            <a:extLst>
              <a:ext uri="{FF2B5EF4-FFF2-40B4-BE49-F238E27FC236}">
                <a16:creationId xmlns:a16="http://schemas.microsoft.com/office/drawing/2014/main" id="{00000000-0008-0000-2000-000006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00000000-0008-0000-0300-000002000000}"/>
            </a:ext>
          </a:extLst>
        </xdr:cNvPr>
        <xdr:cNvGrpSpPr>
          <a:grpSpLocks/>
        </xdr:cNvGrpSpPr>
      </xdr:nvGrpSpPr>
      <xdr:grpSpPr bwMode="auto">
        <a:xfrm>
          <a:off x="0" y="50800"/>
          <a:ext cx="15642771" cy="566057"/>
          <a:chOff x="9524" y="0"/>
          <a:chExt cx="14117503" cy="485600"/>
        </a:xfrm>
      </xdr:grpSpPr>
      <xdr:sp macro="" textlink="">
        <xdr:nvSpPr>
          <xdr:cNvPr id="3" name="Rectangle 2">
            <a:extLst>
              <a:ext uri="{FF2B5EF4-FFF2-40B4-BE49-F238E27FC236}">
                <a16:creationId xmlns:a16="http://schemas.microsoft.com/office/drawing/2014/main" id="{00000000-0008-0000-03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00000000-0008-0000-0300-000004000000}"/>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ADCS </a:t>
            </a:r>
            <a:r>
              <a:rPr lang="en-US" sz="3200" kern="1200" baseline="0">
                <a:latin typeface="+mn-lt"/>
                <a:cs typeface="Times New Roman" pitchFamily="18" charset="0"/>
              </a:rPr>
              <a:t>- 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830942" y="769257"/>
          <a:ext cx="14619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a:t>
          </a:r>
          <a:r>
            <a:rPr lang="en-GB" sz="3200" baseline="0">
              <a:sym typeface="Wingdings 3" panose="05040102010807070707" pitchFamily="18" charset="2"/>
            </a:rPr>
            <a:t> evaluate satellite momentum budget</a:t>
          </a:r>
          <a:endParaRPr lang="en-GB" sz="320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define ADCS operative modes</a:t>
          </a:r>
          <a:endParaRPr lang="en-GB" sz="3200" baseline="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define ADCS architecture</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size ADCS actuators and sensors</a:t>
          </a:r>
          <a:endParaRPr lang="en-GB" sz="239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76201</xdr:colOff>
      <xdr:row>0</xdr:row>
      <xdr:rowOff>76200</xdr:rowOff>
    </xdr:from>
    <xdr:to>
      <xdr:col>10</xdr:col>
      <xdr:colOff>466726</xdr:colOff>
      <xdr:row>0</xdr:row>
      <xdr:rowOff>428625</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76201" y="76200"/>
          <a:ext cx="9915525" cy="352425"/>
          <a:chOff x="9524" y="0"/>
          <a:chExt cx="14087475" cy="485600"/>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4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Attitude Control - Torque</a:t>
            </a:r>
            <a:r>
              <a:rPr lang="en-US" sz="2200" kern="1200" baseline="0"/>
              <a:t> Estimates</a:t>
            </a:r>
            <a:endParaRPr lang="en-US" sz="2200" kern="1200"/>
          </a:p>
        </xdr:txBody>
      </xdr:sp>
    </xdr:grpSp>
    <xdr:clientData/>
  </xdr:twoCellAnchor>
  <xdr:twoCellAnchor>
    <xdr:from>
      <xdr:col>9</xdr:col>
      <xdr:colOff>323850</xdr:colOff>
      <xdr:row>0</xdr:row>
      <xdr:rowOff>95250</xdr:rowOff>
    </xdr:from>
    <xdr:to>
      <xdr:col>10</xdr:col>
      <xdr:colOff>456035</xdr:colOff>
      <xdr:row>0</xdr:row>
      <xdr:rowOff>419100</xdr:rowOff>
    </xdr:to>
    <xdr:grpSp>
      <xdr:nvGrpSpPr>
        <xdr:cNvPr id="5" name="Group 4">
          <a:extLst>
            <a:ext uri="{FF2B5EF4-FFF2-40B4-BE49-F238E27FC236}">
              <a16:creationId xmlns:a16="http://schemas.microsoft.com/office/drawing/2014/main" id="{00000000-0008-0000-0400-000005000000}"/>
            </a:ext>
          </a:extLst>
        </xdr:cNvPr>
        <xdr:cNvGrpSpPr>
          <a:grpSpLocks noChangeAspect="1"/>
        </xdr:cNvGrpSpPr>
      </xdr:nvGrpSpPr>
      <xdr:grpSpPr>
        <a:xfrm>
          <a:off x="9366250" y="95250"/>
          <a:ext cx="614785" cy="323850"/>
          <a:chOff x="9020175" y="9163050"/>
          <a:chExt cx="1526176" cy="972344"/>
        </a:xfrm>
      </xdr:grpSpPr>
      <xdr:sp macro="" textlink="">
        <xdr:nvSpPr>
          <xdr:cNvPr id="6" name="Rectangle 5">
            <a:extLst>
              <a:ext uri="{FF2B5EF4-FFF2-40B4-BE49-F238E27FC236}">
                <a16:creationId xmlns:a16="http://schemas.microsoft.com/office/drawing/2014/main" id="{00000000-0008-0000-04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twoCellAnchor editAs="oneCell">
    <xdr:from>
      <xdr:col>5</xdr:col>
      <xdr:colOff>317501</xdr:colOff>
      <xdr:row>29</xdr:row>
      <xdr:rowOff>126999</xdr:rowOff>
    </xdr:from>
    <xdr:to>
      <xdr:col>9</xdr:col>
      <xdr:colOff>443444</xdr:colOff>
      <xdr:row>40</xdr:row>
      <xdr:rowOff>130417</xdr:rowOff>
    </xdr:to>
    <xdr:pic>
      <xdr:nvPicPr>
        <xdr:cNvPr id="8" name="Picture 7">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980207" y="5102411"/>
          <a:ext cx="3457824" cy="1729124"/>
        </a:xfrm>
        <a:prstGeom prst="rect">
          <a:avLst/>
        </a:prstGeom>
        <a:noFill/>
        <a:ln w="9525">
          <a:noFill/>
          <a:miter lim="800000"/>
          <a:headEnd/>
          <a:tailEnd/>
        </a:ln>
        <a:effectLst/>
      </xdr:spPr>
    </xdr:pic>
    <xdr:clientData/>
  </xdr:twoCellAnchor>
  <mc:AlternateContent xmlns:mc="http://schemas.openxmlformats.org/markup-compatibility/2006">
    <mc:Choice xmlns:a14="http://schemas.microsoft.com/office/drawing/2010/main" Requires="a14">
      <xdr:twoCellAnchor>
        <xdr:from>
          <xdr:col>7</xdr:col>
          <xdr:colOff>428625</xdr:colOff>
          <xdr:row>17</xdr:row>
          <xdr:rowOff>28575</xdr:rowOff>
        </xdr:from>
        <xdr:to>
          <xdr:col>8</xdr:col>
          <xdr:colOff>590550</xdr:colOff>
          <xdr:row>18</xdr:row>
          <xdr:rowOff>57150</xdr:rowOff>
        </xdr:to>
        <xdr:sp macro="" textlink="">
          <xdr:nvSpPr>
            <xdr:cNvPr id="2077" name="Button 29" hidden="1">
              <a:extLst>
                <a:ext uri="{63B3BB69-23CF-44E3-9099-C40C66FF867C}">
                  <a14:compatExt spid="_x0000_s2077"/>
                </a:ext>
                <a:ext uri="{FF2B5EF4-FFF2-40B4-BE49-F238E27FC236}">
                  <a16:creationId xmlns:a16="http://schemas.microsoft.com/office/drawing/2014/main" id="{00000000-0008-0000-0400-00001D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Evaluate Torque in a Orbit</a:t>
              </a:r>
            </a:p>
          </xdr:txBody>
        </xdr:sp>
        <xdr:clientData fPrintsWithSheet="0"/>
      </xdr:twoCellAnchor>
    </mc:Choice>
    <mc:Fallback/>
  </mc:AlternateContent>
  <xdr:twoCellAnchor>
    <xdr:from>
      <xdr:col>11</xdr:col>
      <xdr:colOff>0</xdr:colOff>
      <xdr:row>1</xdr:row>
      <xdr:rowOff>0</xdr:rowOff>
    </xdr:from>
    <xdr:to>
      <xdr:col>19</xdr:col>
      <xdr:colOff>0</xdr:colOff>
      <xdr:row>30</xdr:row>
      <xdr:rowOff>0</xdr:rowOff>
    </xdr:to>
    <xdr:graphicFrame macro="">
      <xdr:nvGraphicFramePr>
        <xdr:cNvPr id="10" name="Torque">
          <a:extLst>
            <a:ext uri="{FF2B5EF4-FFF2-40B4-BE49-F238E27FC236}">
              <a16:creationId xmlns:a16="http://schemas.microsoft.com/office/drawing/2014/main" id="{00000000-0008-0000-0400-00000A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66674</xdr:colOff>
      <xdr:row>0</xdr:row>
      <xdr:rowOff>85725</xdr:rowOff>
    </xdr:from>
    <xdr:to>
      <xdr:col>18</xdr:col>
      <xdr:colOff>476249</xdr:colOff>
      <xdr:row>0</xdr:row>
      <xdr:rowOff>438150</xdr:rowOff>
    </xdr:to>
    <xdr:grpSp>
      <xdr:nvGrpSpPr>
        <xdr:cNvPr id="2" name="Group 1">
          <a:extLst>
            <a:ext uri="{FF2B5EF4-FFF2-40B4-BE49-F238E27FC236}">
              <a16:creationId xmlns:a16="http://schemas.microsoft.com/office/drawing/2014/main" id="{00000000-0008-0000-0600-000002000000}"/>
            </a:ext>
          </a:extLst>
        </xdr:cNvPr>
        <xdr:cNvGrpSpPr/>
      </xdr:nvGrpSpPr>
      <xdr:grpSpPr>
        <a:xfrm>
          <a:off x="66674" y="85725"/>
          <a:ext cx="13050611" cy="352425"/>
          <a:chOff x="9524" y="0"/>
          <a:chExt cx="14087475" cy="485600"/>
        </a:xfrm>
      </xdr:grpSpPr>
      <xdr:sp macro="" textlink="">
        <xdr:nvSpPr>
          <xdr:cNvPr id="3" name="Rectangle 2">
            <a:extLst>
              <a:ext uri="{FF2B5EF4-FFF2-40B4-BE49-F238E27FC236}">
                <a16:creationId xmlns:a16="http://schemas.microsoft.com/office/drawing/2014/main" id="{00000000-0008-0000-06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6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Attitude Control - Sizing</a:t>
            </a:r>
          </a:p>
        </xdr:txBody>
      </xdr:sp>
    </xdr:grpSp>
    <xdr:clientData/>
  </xdr:twoCellAnchor>
  <xdr:twoCellAnchor>
    <xdr:from>
      <xdr:col>17</xdr:col>
      <xdr:colOff>333374</xdr:colOff>
      <xdr:row>0</xdr:row>
      <xdr:rowOff>104775</xdr:rowOff>
    </xdr:from>
    <xdr:to>
      <xdr:col>18</xdr:col>
      <xdr:colOff>465559</xdr:colOff>
      <xdr:row>0</xdr:row>
      <xdr:rowOff>428625</xdr:rowOff>
    </xdr:to>
    <xdr:grpSp>
      <xdr:nvGrpSpPr>
        <xdr:cNvPr id="5" name="Group 4">
          <a:extLst>
            <a:ext uri="{FF2B5EF4-FFF2-40B4-BE49-F238E27FC236}">
              <a16:creationId xmlns:a16="http://schemas.microsoft.com/office/drawing/2014/main" id="{00000000-0008-0000-0600-000005000000}"/>
            </a:ext>
          </a:extLst>
        </xdr:cNvPr>
        <xdr:cNvGrpSpPr>
          <a:grpSpLocks noChangeAspect="1"/>
        </xdr:cNvGrpSpPr>
      </xdr:nvGrpSpPr>
      <xdr:grpSpPr>
        <a:xfrm>
          <a:off x="12525374" y="104775"/>
          <a:ext cx="581221" cy="323850"/>
          <a:chOff x="9020175" y="9163050"/>
          <a:chExt cx="1526176" cy="972344"/>
        </a:xfrm>
      </xdr:grpSpPr>
      <xdr:sp macro="" textlink="">
        <xdr:nvSpPr>
          <xdr:cNvPr id="6" name="Rectangle 5">
            <a:extLst>
              <a:ext uri="{FF2B5EF4-FFF2-40B4-BE49-F238E27FC236}">
                <a16:creationId xmlns:a16="http://schemas.microsoft.com/office/drawing/2014/main" id="{00000000-0008-0000-06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107950</xdr:colOff>
      <xdr:row>4</xdr:row>
      <xdr:rowOff>114300</xdr:rowOff>
    </xdr:from>
    <xdr:to>
      <xdr:col>5</xdr:col>
      <xdr:colOff>247650</xdr:colOff>
      <xdr:row>6</xdr:row>
      <xdr:rowOff>6350</xdr:rowOff>
    </xdr:to>
    <xdr:sp macro="" textlink="">
      <xdr:nvSpPr>
        <xdr:cNvPr id="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0</xdr:colOff>
      <xdr:row>0</xdr:row>
      <xdr:rowOff>12700</xdr:rowOff>
    </xdr:from>
    <xdr:to>
      <xdr:col>7</xdr:col>
      <xdr:colOff>609600</xdr:colOff>
      <xdr:row>2</xdr:row>
      <xdr:rowOff>101600</xdr:rowOff>
    </xdr:to>
    <xdr:grpSp>
      <xdr:nvGrpSpPr>
        <xdr:cNvPr id="42" name="Group 41">
          <a:extLst>
            <a:ext uri="{FF2B5EF4-FFF2-40B4-BE49-F238E27FC236}">
              <a16:creationId xmlns:a16="http://schemas.microsoft.com/office/drawing/2014/main" id="{00000000-0008-0000-0700-00002A000000}"/>
            </a:ext>
          </a:extLst>
        </xdr:cNvPr>
        <xdr:cNvGrpSpPr>
          <a:grpSpLocks/>
        </xdr:cNvGrpSpPr>
      </xdr:nvGrpSpPr>
      <xdr:grpSpPr bwMode="auto">
        <a:xfrm>
          <a:off x="0" y="12700"/>
          <a:ext cx="6432550" cy="457200"/>
          <a:chOff x="9524" y="0"/>
          <a:chExt cx="14087475" cy="485600"/>
        </a:xfrm>
      </xdr:grpSpPr>
      <xdr:sp macro="" textlink="">
        <xdr:nvSpPr>
          <xdr:cNvPr id="43" name="Rectangle 42">
            <a:extLst>
              <a:ext uri="{FF2B5EF4-FFF2-40B4-BE49-F238E27FC236}">
                <a16:creationId xmlns:a16="http://schemas.microsoft.com/office/drawing/2014/main" id="{00000000-0008-0000-0700-00002B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44" name="Rectangle 43">
            <a:extLst>
              <a:ext uri="{FF2B5EF4-FFF2-40B4-BE49-F238E27FC236}">
                <a16:creationId xmlns:a16="http://schemas.microsoft.com/office/drawing/2014/main" id="{00000000-0008-0000-0700-00002C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ADCS</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4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5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6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1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9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A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B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D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E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CF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0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1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2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3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4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5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6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7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8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9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A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B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C0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D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E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F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0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1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2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3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4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5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6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D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E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7F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0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1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2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3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4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5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6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7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8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9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A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B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2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700-00008C0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533400</xdr:colOff>
      <xdr:row>4</xdr:row>
      <xdr:rowOff>31750</xdr:rowOff>
    </xdr:from>
    <xdr:to>
      <xdr:col>5</xdr:col>
      <xdr:colOff>400050</xdr:colOff>
      <xdr:row>19</xdr:row>
      <xdr:rowOff>12700</xdr:rowOff>
    </xdr:to>
    <xdr:graphicFrame macro="">
      <xdr:nvGraphicFramePr>
        <xdr:cNvPr id="2703" name="Diagram 2702">
          <a:extLst>
            <a:ext uri="{FF2B5EF4-FFF2-40B4-BE49-F238E27FC236}">
              <a16:creationId xmlns:a16="http://schemas.microsoft.com/office/drawing/2014/main" id="{00000000-0008-0000-0700-00008F0A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oris%20Franchi/Desktop/Deliverables/Calculation%20Sheets/ESA-ISU_Payload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Payload_v1.5.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oris%20Franchi/Desktop/Ideas%20for%20worksheets%20integrations/Calculation%20sheets_ToBeReviewd/Thermal%20And%20Structure/Subsyste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ADCS_v1.9.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oris/Desktop/CDF%20Polito%20Final/Calculation%20Sheets/ESA-ISU_Mission_v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oris/Desktop/CDF%20Polito%20Final/Calculation%20Sheets/DHS_V1.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WithTradeOff/Structure_V1.9%20(With%20TradeOff%20And%20Product%20Tree).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Mission_v1.9.1.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oris/Desktop/CDF%20Polito%20Final/Calculation%20Sheets/ESA-ISU_Thermal_v2.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Loris%20Franchi/Desktop/ADP%20final/Calculation%20Sheets/WithMacros/ESA-ISU_Thermal_v1.9(With%20TradeOff%20and%20Product%20Tree).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Teacher/Desktop/Calculation%20sheets/Old/ESA-ISU_CalculationSheet_ADCS.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Gwenael%20Van%20Looveren/Desktop/Calculation%20Sheets/ESA-ISU_Mission_v2.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Loris%20Franchi/Desktop/Deliverables/Calculation%20Sheets/ESA-ISU_Thermal_v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3">
          <cell r="B3">
            <v>1.3806580000000001E-23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 val="Db"/>
      <sheetName val="ESA-ISU_Mission_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B7">
            <v>132700000000</v>
          </cell>
        </row>
        <row r="9">
          <cell r="B9">
            <v>149600016.456</v>
          </cell>
        </row>
      </sheetData>
      <sheetData sheetId="23" refreshError="1"/>
      <sheetData sheetId="24" refreshError="1"/>
      <sheetData sheetId="2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11">
          <cell r="B11">
            <v>6378.1369999999997</v>
          </cell>
        </row>
        <row r="12">
          <cell r="B12">
            <v>398600.44179999997</v>
          </cell>
        </row>
        <row r="40">
          <cell r="B40">
            <v>57.2958</v>
          </cell>
        </row>
      </sheetData>
      <sheetData sheetId="2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row r="6">
          <cell r="I6">
            <v>175.17995263503801</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sheetData>
      <sheetData sheetId="10"/>
      <sheetData sheetId="1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ProductTreeMain"/>
      <sheetName val="Trade_off"/>
      <sheetName val="Constants"/>
    </sheetNames>
    <sheetDataSet>
      <sheetData sheetId="0"/>
      <sheetData sheetId="1"/>
      <sheetData sheetId="2"/>
      <sheetData sheetId="3"/>
      <sheetData sheetId="4"/>
      <sheetData sheetId="5">
        <row r="20">
          <cell r="Q20">
            <v>0.2</v>
          </cell>
        </row>
        <row r="30">
          <cell r="Q30">
            <v>0.5</v>
          </cell>
        </row>
        <row r="66">
          <cell r="Q66">
            <v>0</v>
          </cell>
        </row>
      </sheetData>
      <sheetData sheetId="6"/>
      <sheetData sheetId="7"/>
      <sheetData sheetId="8">
        <row r="1">
          <cell r="B1">
            <v>299792458</v>
          </cell>
        </row>
        <row r="11">
          <cell r="B11">
            <v>6378.1369999999997</v>
          </cell>
        </row>
        <row r="12">
          <cell r="B12">
            <v>398600.44179999997</v>
          </cell>
        </row>
        <row r="18">
          <cell r="B18">
            <v>6378.1369999999997</v>
          </cell>
        </row>
        <row r="28">
          <cell r="B28">
            <v>7960000000000000</v>
          </cell>
        </row>
        <row r="33">
          <cell r="B33">
            <v>1367</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 val="Db"/>
      <sheetName val="ESA-ISU_Mission_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ow r="9">
          <cell r="B9">
            <v>149600016.456</v>
          </cell>
        </row>
      </sheetData>
      <sheetData sheetId="22" refreshError="1"/>
      <sheetData sheetId="23" refreshError="1"/>
      <sheetData sheetId="2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
  <sheetViews>
    <sheetView workbookViewId="0">
      <selection activeCell="R35" sqref="R35"/>
    </sheetView>
  </sheetViews>
  <sheetFormatPr defaultColWidth="9.33203125" defaultRowHeight="12.75"/>
  <cols>
    <col min="1" max="16384" width="9.33203125" style="2"/>
  </cols>
  <sheetData/>
  <sheetProtection password="CB75" sheet="1" objects="1" scenarios="1"/>
  <phoneticPr fontId="25" type="noConversion"/>
  <pageMargins left="0.75" right="0.75" top="1" bottom="1" header="0.5" footer="0.5"/>
  <pageSetup paperSize="9" orientation="portrait" horizontalDpi="300" verticalDpi="300" r:id="rId1"/>
  <headerFooter alignWithMargins="0"/>
  <drawing r:id="rId2"/>
  <legacyDrawing r:id="rId3"/>
  <oleObjects>
    <mc:AlternateContent xmlns:mc="http://schemas.openxmlformats.org/markup-compatibility/2006">
      <mc:Choice Requires="x14">
        <oleObject progId="AcroExch.Document.7" shapeId="38913" r:id="rId4">
          <objectPr defaultSize="0" r:id="rId5">
            <anchor moveWithCells="1">
              <from>
                <xdr:col>3</xdr:col>
                <xdr:colOff>9525</xdr:colOff>
                <xdr:row>3</xdr:row>
                <xdr:rowOff>9525</xdr:rowOff>
              </from>
              <to>
                <xdr:col>17</xdr:col>
                <xdr:colOff>95250</xdr:colOff>
                <xdr:row>39</xdr:row>
                <xdr:rowOff>9525</xdr:rowOff>
              </to>
            </anchor>
          </objectPr>
        </oleObject>
      </mc:Choice>
      <mc:Fallback>
        <oleObject progId="AcroExch.Document.7" shapeId="38913"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
  <sheetViews>
    <sheetView showGridLines="0" tabSelected="1" zoomScale="70" zoomScaleNormal="70" workbookViewId="0">
      <selection activeCell="AM42" sqref="AM42"/>
    </sheetView>
  </sheetViews>
  <sheetFormatPr defaultRowHeight="12.75"/>
  <cols>
    <col min="1" max="16384" width="9.33203125" style="430"/>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9"/>
  <sheetViews>
    <sheetView workbookViewId="0">
      <selection activeCell="E9" sqref="E9"/>
    </sheetView>
  </sheetViews>
  <sheetFormatPr defaultRowHeight="12.75"/>
  <cols>
    <col min="1" max="1" width="36" bestFit="1" customWidth="1"/>
    <col min="2" max="2" width="7.1640625" bestFit="1" customWidth="1"/>
    <col min="3" max="3" width="16.1640625" bestFit="1" customWidth="1"/>
    <col min="4" max="4" width="16.33203125" bestFit="1" customWidth="1"/>
    <col min="5" max="5" width="59.6640625" bestFit="1" customWidth="1"/>
    <col min="6" max="6" width="25.1640625" bestFit="1" customWidth="1"/>
  </cols>
  <sheetData>
    <row r="1" spans="1:6" ht="21" thickBot="1">
      <c r="A1" s="344" t="s">
        <v>425</v>
      </c>
      <c r="B1" s="344" t="s">
        <v>426</v>
      </c>
      <c r="C1" s="344" t="s">
        <v>427</v>
      </c>
      <c r="D1" s="344" t="s">
        <v>428</v>
      </c>
      <c r="E1" s="344" t="s">
        <v>429</v>
      </c>
      <c r="F1" s="345" t="s">
        <v>430</v>
      </c>
    </row>
    <row r="2" spans="1:6">
      <c r="A2" t="s">
        <v>431</v>
      </c>
      <c r="E2" t="s">
        <v>435</v>
      </c>
    </row>
    <row r="3" spans="1:6">
      <c r="A3" t="s">
        <v>431</v>
      </c>
      <c r="E3" t="s">
        <v>433</v>
      </c>
    </row>
    <row r="4" spans="1:6">
      <c r="A4" t="s">
        <v>431</v>
      </c>
      <c r="E4" t="s">
        <v>432</v>
      </c>
    </row>
    <row r="5" spans="1:6">
      <c r="A5" t="s">
        <v>431</v>
      </c>
      <c r="E5" t="s">
        <v>405</v>
      </c>
    </row>
    <row r="6" spans="1:6">
      <c r="A6" t="s">
        <v>431</v>
      </c>
      <c r="E6" t="s">
        <v>406</v>
      </c>
    </row>
    <row r="7" spans="1:6">
      <c r="A7" t="s">
        <v>431</v>
      </c>
      <c r="E7" t="s">
        <v>434</v>
      </c>
    </row>
    <row r="8" spans="1:6">
      <c r="A8" t="s">
        <v>431</v>
      </c>
      <c r="E8" t="s">
        <v>423</v>
      </c>
    </row>
    <row r="9" spans="1:6">
      <c r="A9" t="s">
        <v>431</v>
      </c>
      <c r="E9" t="s">
        <v>456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7030A0"/>
  </sheetPr>
  <dimension ref="A1"/>
  <sheetViews>
    <sheetView showGridLines="0" zoomScale="70" zoomScaleNormal="70" workbookViewId="0">
      <selection activeCell="A18" sqref="A18"/>
    </sheetView>
  </sheetViews>
  <sheetFormatPr defaultRowHeight="12.7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0">
    <tabColor theme="3" tint="0.39997558519241921"/>
    <pageSetUpPr fitToPage="1"/>
  </sheetPr>
  <dimension ref="A1:R63"/>
  <sheetViews>
    <sheetView topLeftCell="A43" zoomScaleNormal="100" workbookViewId="0">
      <selection activeCell="F14" sqref="F14"/>
    </sheetView>
  </sheetViews>
  <sheetFormatPr defaultColWidth="9.33203125" defaultRowHeight="13.5"/>
  <cols>
    <col min="1" max="1" width="9.6640625" style="12" customWidth="1"/>
    <col min="2" max="2" width="41.1640625" style="3" bestFit="1" customWidth="1"/>
    <col min="3" max="3" width="15.5" style="3" customWidth="1"/>
    <col min="4" max="4" width="13.83203125" style="3" customWidth="1"/>
    <col min="5" max="5" width="9.83203125" style="3" customWidth="1"/>
    <col min="6" max="6" width="5.83203125" style="3" customWidth="1"/>
    <col min="7" max="7" width="6.1640625" style="12" customWidth="1"/>
    <col min="8" max="8" width="27.6640625" style="3" bestFit="1" customWidth="1"/>
    <col min="9" max="9" width="12.83203125" style="3" customWidth="1"/>
    <col min="10" max="10" width="7.6640625" style="3" bestFit="1" customWidth="1"/>
    <col min="11" max="11" width="9.5" style="3" customWidth="1"/>
    <col min="12" max="13" width="15.83203125" style="3" customWidth="1"/>
    <col min="14" max="17" width="12.83203125" style="3" customWidth="1"/>
    <col min="18" max="16384" width="9.33203125" style="3"/>
  </cols>
  <sheetData>
    <row r="1" spans="1:18" ht="35.25" customHeight="1">
      <c r="A1" s="7"/>
      <c r="B1" s="8"/>
      <c r="C1" s="8"/>
      <c r="D1" s="8"/>
      <c r="E1" s="8"/>
      <c r="F1" s="8"/>
      <c r="G1" s="13"/>
      <c r="H1" s="8"/>
      <c r="I1" s="8"/>
      <c r="J1" s="14"/>
      <c r="K1" s="10"/>
    </row>
    <row r="2" spans="1:18" ht="15">
      <c r="A2" s="440" t="s">
        <v>217</v>
      </c>
      <c r="B2" s="441"/>
      <c r="C2" s="441"/>
      <c r="D2" s="441"/>
      <c r="E2" s="441"/>
      <c r="F2" s="441"/>
      <c r="G2" s="441"/>
      <c r="H2" s="441"/>
      <c r="I2" s="441"/>
      <c r="J2" s="441"/>
      <c r="K2" s="441"/>
      <c r="N2" s="178"/>
      <c r="O2" s="178" t="s">
        <v>244</v>
      </c>
      <c r="P2" s="178" t="s">
        <v>245</v>
      </c>
      <c r="Q2" s="178" t="s">
        <v>246</v>
      </c>
      <c r="R2" s="178"/>
    </row>
    <row r="3" spans="1:18" ht="26.45" customHeight="1">
      <c r="A3" s="463" t="s">
        <v>458</v>
      </c>
      <c r="B3" s="464"/>
      <c r="C3" s="464"/>
      <c r="D3" s="464"/>
      <c r="E3" s="464"/>
      <c r="F3" s="464"/>
      <c r="G3" s="464"/>
      <c r="H3" s="464"/>
      <c r="I3" s="464"/>
      <c r="J3" s="464"/>
      <c r="K3" s="464"/>
      <c r="N3" s="178"/>
      <c r="O3" s="178" t="s">
        <v>247</v>
      </c>
      <c r="P3" s="178">
        <v>4.8611111111111112E-3</v>
      </c>
      <c r="Q3" s="178">
        <v>6.458333333333334E-2</v>
      </c>
      <c r="R3" s="178"/>
    </row>
    <row r="4" spans="1:18" ht="17.25" customHeight="1" thickBot="1">
      <c r="A4" s="35"/>
      <c r="B4" s="133" t="s">
        <v>235</v>
      </c>
      <c r="C4" s="82" t="s">
        <v>236</v>
      </c>
      <c r="D4" s="10"/>
      <c r="E4" s="10"/>
      <c r="F4" s="10"/>
      <c r="G4" s="35"/>
      <c r="H4" s="35"/>
      <c r="I4" s="35"/>
      <c r="J4" s="35"/>
      <c r="K4" s="10"/>
      <c r="N4" s="178"/>
      <c r="O4" s="178" t="s">
        <v>248</v>
      </c>
      <c r="P4" s="178" t="s">
        <v>249</v>
      </c>
      <c r="Q4" s="178">
        <v>0.64097222222222217</v>
      </c>
      <c r="R4" s="178"/>
    </row>
    <row r="5" spans="1:18" ht="12.75" customHeight="1" thickTop="1">
      <c r="A5" s="35"/>
      <c r="B5" s="442" t="s">
        <v>8</v>
      </c>
      <c r="C5" s="443"/>
      <c r="D5" s="443"/>
      <c r="E5" s="444"/>
      <c r="F5" s="108"/>
      <c r="G5" s="445" t="s">
        <v>218</v>
      </c>
      <c r="H5" s="446"/>
      <c r="I5" s="446"/>
      <c r="J5" s="447"/>
      <c r="K5" s="10"/>
      <c r="N5" s="178"/>
      <c r="O5" s="178" t="s">
        <v>250</v>
      </c>
      <c r="P5" s="178">
        <v>5.5555555555555558E-3</v>
      </c>
      <c r="Q5" s="178">
        <v>6.3888888888888898E-2</v>
      </c>
      <c r="R5" s="178"/>
    </row>
    <row r="6" spans="1:18" ht="12.75" customHeight="1">
      <c r="A6" s="35"/>
      <c r="B6" s="15"/>
      <c r="C6" s="134"/>
      <c r="D6" s="134"/>
      <c r="E6" s="135"/>
      <c r="F6" s="108"/>
      <c r="G6" s="32"/>
      <c r="H6" s="136" t="s">
        <v>273</v>
      </c>
      <c r="I6" s="136" t="s">
        <v>316</v>
      </c>
      <c r="J6" s="137"/>
      <c r="K6" s="10"/>
      <c r="N6" s="178"/>
      <c r="O6" s="178" t="s">
        <v>251</v>
      </c>
      <c r="P6" s="178">
        <v>5.5555555555555558E-3</v>
      </c>
      <c r="Q6" s="178">
        <v>6.3888888888888898E-2</v>
      </c>
      <c r="R6" s="178"/>
    </row>
    <row r="7" spans="1:18" ht="12.75" customHeight="1">
      <c r="A7" s="35"/>
      <c r="B7" s="451" t="s">
        <v>221</v>
      </c>
      <c r="C7" s="452"/>
      <c r="D7" s="452"/>
      <c r="E7" s="453"/>
      <c r="F7" s="108"/>
      <c r="G7" s="454" t="s">
        <v>220</v>
      </c>
      <c r="H7" s="455"/>
      <c r="I7" s="455"/>
      <c r="J7" s="456"/>
      <c r="K7" s="10"/>
      <c r="M7" s="177"/>
      <c r="N7" s="178"/>
      <c r="O7" s="178" t="s">
        <v>252</v>
      </c>
      <c r="P7" s="178">
        <v>0.11319444444444444</v>
      </c>
      <c r="Q7" s="178">
        <v>0.58124999999999993</v>
      </c>
      <c r="R7" s="178"/>
    </row>
    <row r="8" spans="1:18" ht="12.75" customHeight="1">
      <c r="A8" s="35"/>
      <c r="B8" s="110" t="s">
        <v>0</v>
      </c>
      <c r="C8" s="138" t="s">
        <v>229</v>
      </c>
      <c r="D8" s="131"/>
      <c r="E8" s="132" t="s">
        <v>11</v>
      </c>
      <c r="F8" s="108"/>
      <c r="G8" s="32" t="s">
        <v>9</v>
      </c>
      <c r="H8" s="136"/>
      <c r="I8" s="136"/>
      <c r="J8" s="137"/>
      <c r="K8" s="108"/>
      <c r="N8" s="178"/>
      <c r="O8" s="178" t="s">
        <v>253</v>
      </c>
      <c r="P8" s="178">
        <v>0.17222222222222225</v>
      </c>
      <c r="Q8" s="178">
        <v>0.52222222222222225</v>
      </c>
      <c r="R8" s="178"/>
    </row>
    <row r="9" spans="1:18">
      <c r="A9" s="35"/>
      <c r="B9" s="110" t="s">
        <v>1</v>
      </c>
      <c r="C9" s="138" t="s">
        <v>230</v>
      </c>
      <c r="D9" s="131">
        <v>400</v>
      </c>
      <c r="E9" s="132" t="s">
        <v>11</v>
      </c>
      <c r="F9" s="108"/>
      <c r="G9" s="32"/>
      <c r="H9" s="136"/>
      <c r="I9" s="136"/>
      <c r="J9" s="137"/>
      <c r="K9" s="10"/>
      <c r="N9" s="178"/>
      <c r="O9" s="178" t="s">
        <v>254</v>
      </c>
      <c r="P9" s="178">
        <v>0.17500000000000002</v>
      </c>
      <c r="Q9" s="178">
        <v>0.51944444444444449</v>
      </c>
      <c r="R9" s="178"/>
    </row>
    <row r="10" spans="1:18">
      <c r="A10" s="35"/>
      <c r="B10" s="110" t="s">
        <v>270</v>
      </c>
      <c r="C10" s="138" t="s">
        <v>272</v>
      </c>
      <c r="D10" s="333"/>
      <c r="E10" s="132" t="s">
        <v>11</v>
      </c>
      <c r="F10" s="108"/>
      <c r="G10" s="32"/>
      <c r="H10" s="136" t="s">
        <v>12</v>
      </c>
      <c r="I10" s="31">
        <f>IF(AND(D16&lt;&gt;"",D38&lt;&gt;"",D39&lt;&gt;""),3*Earth_Mu/2/(Earth_Radius+D16)^3*(D38-D39)*SIN(2*D25*PI()/180),"")</f>
        <v>9.5999287867725254E-8</v>
      </c>
      <c r="J10" s="33" t="s">
        <v>13</v>
      </c>
      <c r="K10" s="10"/>
      <c r="N10" s="178"/>
      <c r="O10" s="178" t="s">
        <v>255</v>
      </c>
      <c r="P10" s="178">
        <v>1.1111111111111112E-2</v>
      </c>
      <c r="Q10" s="178">
        <v>5.8333333333333327E-2</v>
      </c>
      <c r="R10" s="178"/>
    </row>
    <row r="11" spans="1:18" ht="12.75" customHeight="1">
      <c r="A11" s="35"/>
      <c r="B11" s="110" t="s">
        <v>267</v>
      </c>
      <c r="C11" s="138" t="s">
        <v>272</v>
      </c>
      <c r="D11" s="131">
        <v>0</v>
      </c>
      <c r="E11" s="132" t="s">
        <v>223</v>
      </c>
      <c r="F11" s="108"/>
      <c r="G11" s="32"/>
      <c r="H11" s="136" t="s">
        <v>15</v>
      </c>
      <c r="I11" s="31">
        <f>IF(D40&lt;&gt;"",Solar_Flux/Speed_of_Light*D40*D41*(1+D45)*COS(D24*PI()/180),"")</f>
        <v>4.5885541557330832E-8</v>
      </c>
      <c r="J11" s="33" t="s">
        <v>13</v>
      </c>
      <c r="K11" s="10"/>
      <c r="N11" s="178"/>
      <c r="O11" s="178" t="s">
        <v>407</v>
      </c>
      <c r="P11" s="178">
        <v>2.5694444444444447E-2</v>
      </c>
      <c r="Q11" s="178">
        <v>4.3750000000000004E-2</v>
      </c>
      <c r="R11" s="178"/>
    </row>
    <row r="12" spans="1:18" ht="12.75" customHeight="1">
      <c r="A12" s="35"/>
      <c r="B12" s="110" t="s">
        <v>268</v>
      </c>
      <c r="C12" s="138" t="s">
        <v>437</v>
      </c>
      <c r="D12" s="131">
        <v>90</v>
      </c>
      <c r="E12" s="132"/>
      <c r="F12" s="108"/>
      <c r="G12" s="32"/>
      <c r="H12" s="136" t="s">
        <v>16</v>
      </c>
      <c r="I12" s="31">
        <f>IF(D16&lt;&gt;"",2*Earth_Mag_Moment/((Earth_Radius+D16)*1000)^3*D46,"")</f>
        <v>5.1122494360606626E-5</v>
      </c>
      <c r="J12" s="33" t="s">
        <v>13</v>
      </c>
      <c r="K12" s="10"/>
      <c r="N12" s="178"/>
      <c r="O12" s="178" t="s">
        <v>256</v>
      </c>
      <c r="P12" s="178">
        <v>0.55902777777777779</v>
      </c>
      <c r="Q12" s="178">
        <v>0.13541666666666666</v>
      </c>
      <c r="R12" s="178"/>
    </row>
    <row r="13" spans="1:18" ht="12.75" customHeight="1">
      <c r="A13" s="35"/>
      <c r="B13" s="110" t="s">
        <v>269</v>
      </c>
      <c r="C13" s="138" t="s">
        <v>272</v>
      </c>
      <c r="D13" s="131">
        <v>0</v>
      </c>
      <c r="E13" s="132"/>
      <c r="F13" s="108"/>
      <c r="G13" s="32"/>
      <c r="H13" s="136" t="s">
        <v>19</v>
      </c>
      <c r="I13" s="31">
        <f>IF(AND(D22&lt;&gt;"",D23&lt;&gt;"",D40&lt;&gt;""),0.5*D23*D44*D40*(D22*1000)^2*D42,"")</f>
        <v>3.995921006068433E-6</v>
      </c>
      <c r="J13" s="33" t="s">
        <v>13</v>
      </c>
      <c r="K13" s="10"/>
      <c r="N13" s="178"/>
      <c r="O13" s="178" t="s">
        <v>408</v>
      </c>
      <c r="P13" s="178">
        <v>0.67708333333333337</v>
      </c>
      <c r="Q13" s="178" t="s">
        <v>257</v>
      </c>
      <c r="R13" s="178"/>
    </row>
    <row r="14" spans="1:18" ht="12.75" customHeight="1">
      <c r="A14" s="35"/>
      <c r="B14" s="110" t="s">
        <v>457</v>
      </c>
      <c r="C14" s="138" t="s">
        <v>272</v>
      </c>
      <c r="D14" s="131">
        <v>0</v>
      </c>
      <c r="E14" s="132"/>
      <c r="F14" s="108"/>
      <c r="G14" s="32"/>
      <c r="H14" s="136"/>
      <c r="I14" s="136"/>
      <c r="J14" s="33"/>
      <c r="K14" s="10"/>
      <c r="N14" s="178"/>
      <c r="O14" s="178" t="s">
        <v>258</v>
      </c>
      <c r="P14" s="178">
        <v>0.53194444444444444</v>
      </c>
      <c r="Q14" s="178">
        <v>0.16250000000000001</v>
      </c>
      <c r="R14" s="178"/>
    </row>
    <row r="15" spans="1:18" ht="12.75" customHeight="1">
      <c r="A15" s="35"/>
      <c r="B15" s="448" t="s">
        <v>220</v>
      </c>
      <c r="C15" s="449"/>
      <c r="D15" s="449"/>
      <c r="E15" s="450"/>
      <c r="F15" s="108"/>
      <c r="G15" s="32"/>
      <c r="H15" s="136" t="s">
        <v>23</v>
      </c>
      <c r="I15" s="31">
        <f>SQRT(SUMSQ(I10:I13))</f>
        <v>5.1278534843374673E-5</v>
      </c>
      <c r="J15" s="33" t="s">
        <v>13</v>
      </c>
      <c r="K15" s="10"/>
      <c r="N15" s="178"/>
      <c r="O15" s="178" t="s">
        <v>259</v>
      </c>
      <c r="P15" s="178">
        <v>0.39374999999999999</v>
      </c>
      <c r="Q15" s="178">
        <v>0.30069444444444443</v>
      </c>
      <c r="R15" s="178"/>
    </row>
    <row r="16" spans="1:18" ht="12.75" customHeight="1">
      <c r="A16" s="35"/>
      <c r="B16" s="123" t="s">
        <v>10</v>
      </c>
      <c r="C16" s="109">
        <v>400</v>
      </c>
      <c r="D16" s="16">
        <f>IF(C16&lt;&gt;"",C16,IF(AND(D17&lt;&gt;"",D18&lt;&gt;""),D17*(1-D18)-Earth_Radius,IF('Attitude Control - Torques'!D8="",D9,D8)))</f>
        <v>400</v>
      </c>
      <c r="E16" s="17" t="s">
        <v>11</v>
      </c>
      <c r="F16" s="108"/>
      <c r="G16" s="32"/>
      <c r="H16" s="136"/>
      <c r="I16" s="136"/>
      <c r="J16" s="137"/>
      <c r="K16" s="10"/>
      <c r="N16" s="178"/>
      <c r="O16" s="178" t="s">
        <v>258</v>
      </c>
      <c r="P16" s="178">
        <v>0.31111111111111112</v>
      </c>
      <c r="Q16" s="178">
        <v>0.3833333333333333</v>
      </c>
      <c r="R16" s="178"/>
    </row>
    <row r="17" spans="1:18" ht="12.75" customHeight="1">
      <c r="A17" s="35"/>
      <c r="B17" s="123" t="s">
        <v>270</v>
      </c>
      <c r="C17" s="109"/>
      <c r="D17" s="16">
        <f>IF(C17&lt;&gt;"",C17,IF(D10&lt;&gt;"",D10,IF(D8&lt;&gt;"",D8+Earth_Radius,(IF(AND(OR(C18&lt;&gt;"",D11&lt;&gt;""),D9&lt;&gt;""),(D9+Earth_Radius)/(1-D18),"")))))</f>
        <v>6778.1369999999997</v>
      </c>
      <c r="E17" s="17" t="s">
        <v>11</v>
      </c>
      <c r="F17" s="108"/>
      <c r="G17" s="32" t="s">
        <v>25</v>
      </c>
      <c r="H17" s="136"/>
      <c r="I17" s="31">
        <f>IF(AND(D38&lt;&gt;"",D60&lt;&gt;"",D61&lt;&gt;""),4*D60*PI()/180*D38/D61^2,"")</f>
        <v>4.3633231299858234E-5</v>
      </c>
      <c r="J17" s="33" t="s">
        <v>13</v>
      </c>
      <c r="K17" s="10"/>
      <c r="N17" s="178"/>
      <c r="O17" s="178" t="s">
        <v>409</v>
      </c>
      <c r="P17" s="178">
        <v>1.4583333333333332E-2</v>
      </c>
      <c r="Q17" s="178">
        <v>5.486111111111111E-2</v>
      </c>
      <c r="R17" s="178"/>
    </row>
    <row r="18" spans="1:18" ht="12.75" customHeight="1">
      <c r="A18" s="35"/>
      <c r="B18" s="123" t="s">
        <v>267</v>
      </c>
      <c r="C18" s="109"/>
      <c r="D18" s="16">
        <f>IF(C18&lt;&gt;"",C18,IF(D11&lt;&gt;"",D11,(IF(AND(D9&lt;&gt;"",OR(D10&lt;&gt;"",C17&lt;&gt;"")),1-(D9+Earth_Radius)/D17,IF(D8&lt;&gt;"",0,"")))))</f>
        <v>0</v>
      </c>
      <c r="E18" s="17" t="s">
        <v>223</v>
      </c>
      <c r="F18" s="108"/>
      <c r="G18" s="168"/>
      <c r="H18" s="136"/>
      <c r="I18" s="136"/>
      <c r="J18" s="137"/>
      <c r="K18" s="10"/>
      <c r="N18" s="178"/>
      <c r="O18" s="178" t="s">
        <v>260</v>
      </c>
      <c r="P18" s="178">
        <v>0.2076388888888889</v>
      </c>
      <c r="Q18" s="178">
        <v>0.48680555555555555</v>
      </c>
      <c r="R18" s="178"/>
    </row>
    <row r="19" spans="1:18" ht="12.75" customHeight="1" thickBot="1">
      <c r="A19" s="35"/>
      <c r="B19" s="123" t="s">
        <v>268</v>
      </c>
      <c r="C19" s="109">
        <v>90</v>
      </c>
      <c r="D19" s="16">
        <f>IF(C19&lt;&gt;"",C19,D12)</f>
        <v>90</v>
      </c>
      <c r="E19" s="17"/>
      <c r="F19" s="108"/>
      <c r="G19" s="34"/>
      <c r="H19" s="139"/>
      <c r="I19" s="139"/>
      <c r="J19" s="140"/>
      <c r="K19" s="10"/>
      <c r="N19" s="178"/>
      <c r="O19" s="178" t="s">
        <v>261</v>
      </c>
      <c r="P19" s="178">
        <v>0.26319444444444445</v>
      </c>
      <c r="Q19" s="178">
        <v>0.43124999999999997</v>
      </c>
      <c r="R19" s="178"/>
    </row>
    <row r="20" spans="1:18" ht="12.75" customHeight="1" thickTop="1">
      <c r="A20" s="35"/>
      <c r="B20" s="123" t="s">
        <v>269</v>
      </c>
      <c r="C20" s="109"/>
      <c r="D20" s="16">
        <f t="shared" ref="D20" si="0">IF(C20&lt;&gt;"",C20,D13)</f>
        <v>0</v>
      </c>
      <c r="E20" s="17"/>
      <c r="F20" s="108"/>
      <c r="G20" s="445" t="s">
        <v>397</v>
      </c>
      <c r="H20" s="446"/>
      <c r="I20" s="446"/>
      <c r="J20" s="447"/>
      <c r="K20" s="10"/>
      <c r="N20" s="178"/>
      <c r="O20" s="178" t="s">
        <v>262</v>
      </c>
      <c r="P20" s="178">
        <v>1.7361111111111112E-2</v>
      </c>
      <c r="Q20" s="178">
        <v>5.2083333333333336E-2</v>
      </c>
      <c r="R20" s="178"/>
    </row>
    <row r="21" spans="1:18" ht="12.75" customHeight="1">
      <c r="A21" s="35"/>
      <c r="B21" s="123" t="s">
        <v>457</v>
      </c>
      <c r="C21" s="109"/>
      <c r="D21" s="16">
        <f>IF(C21&lt;&gt;"",C21,D14)</f>
        <v>0</v>
      </c>
      <c r="E21" s="17"/>
      <c r="F21" s="108"/>
      <c r="G21" s="32"/>
      <c r="H21" s="136" t="s">
        <v>399</v>
      </c>
      <c r="I21" s="179">
        <v>1.8039083823813744E-2</v>
      </c>
      <c r="J21" s="331" t="s">
        <v>55</v>
      </c>
      <c r="K21" s="10"/>
      <c r="N21" s="178"/>
      <c r="O21" s="178" t="s">
        <v>410</v>
      </c>
      <c r="P21" s="178">
        <v>3.0555555555555555E-2</v>
      </c>
      <c r="Q21" s="178">
        <v>3.888888888888889E-2</v>
      </c>
      <c r="R21" s="178"/>
    </row>
    <row r="22" spans="1:18" ht="12.75" customHeight="1">
      <c r="A22" s="35"/>
      <c r="B22" s="123" t="s">
        <v>271</v>
      </c>
      <c r="C22" s="109"/>
      <c r="D22" s="16">
        <f>IF(C22="",IF(AND(D16&lt;&gt;"",D16&lt;&gt;0),SQRT(Earth_Mu/(Earth_Radius+D16)),IF('Attitude Control - Torques'!D8&lt;&gt;"",'Attitude Control - Torques'!D10,'Attitude Control - Torques'!D11)),C22)</f>
        <v>7.6685581754070551</v>
      </c>
      <c r="E22" s="17" t="s">
        <v>14</v>
      </c>
      <c r="F22" s="108"/>
      <c r="G22" s="32"/>
      <c r="H22" s="136" t="s">
        <v>400</v>
      </c>
      <c r="I22" s="179">
        <v>1.4431267059050996E-2</v>
      </c>
      <c r="J22" s="331" t="s">
        <v>55</v>
      </c>
      <c r="K22" s="10"/>
      <c r="N22" s="178"/>
      <c r="O22" s="178"/>
      <c r="P22" s="178"/>
      <c r="Q22" s="178"/>
      <c r="R22" s="178"/>
    </row>
    <row r="23" spans="1:18" ht="12.75" customHeight="1">
      <c r="A23" s="35"/>
      <c r="B23" s="123" t="s">
        <v>17</v>
      </c>
      <c r="C23" s="134"/>
      <c r="D23" s="18">
        <f>IF(D16&lt;&gt;"",IF(D16&lt;=1500,VLOOKUP(D16,Constants!$E$5:$R$25,14)*VLOOKUP(D16,Constants!$E$5:$R$25,13)^D16,0),"")</f>
        <v>7.5499999999999087E-12</v>
      </c>
      <c r="E23" s="17" t="s">
        <v>18</v>
      </c>
      <c r="F23" s="108"/>
      <c r="G23" s="32"/>
      <c r="H23" s="136" t="s">
        <v>401</v>
      </c>
      <c r="I23" s="179">
        <v>3.6078167647627477E-3</v>
      </c>
      <c r="J23" s="331" t="s">
        <v>55</v>
      </c>
      <c r="K23" s="10"/>
      <c r="N23" s="178"/>
      <c r="O23" s="178"/>
      <c r="P23" s="178"/>
      <c r="Q23" s="178"/>
      <c r="R23" s="178"/>
    </row>
    <row r="24" spans="1:18" ht="12.75" customHeight="1" thickBot="1">
      <c r="A24" s="35"/>
      <c r="B24" s="123" t="s">
        <v>20</v>
      </c>
      <c r="C24" s="109"/>
      <c r="D24" s="19">
        <f>IF(C24&lt;&gt;"",C24,45)</f>
        <v>45</v>
      </c>
      <c r="E24" s="17" t="s">
        <v>21</v>
      </c>
      <c r="F24" s="108"/>
      <c r="G24" s="34"/>
      <c r="H24" s="139" t="s">
        <v>402</v>
      </c>
      <c r="I24" s="180">
        <v>2.0016307130182062E-4</v>
      </c>
      <c r="J24" s="332" t="s">
        <v>13</v>
      </c>
      <c r="K24" s="10"/>
    </row>
    <row r="25" spans="1:18" ht="12.75" customHeight="1" thickTop="1" thickBot="1">
      <c r="A25" s="35"/>
      <c r="B25" s="141" t="s">
        <v>22</v>
      </c>
      <c r="C25" s="183">
        <v>1</v>
      </c>
      <c r="D25" s="184">
        <v>45</v>
      </c>
      <c r="E25" s="20" t="s">
        <v>21</v>
      </c>
      <c r="F25" s="108"/>
      <c r="G25" s="445" t="s">
        <v>398</v>
      </c>
      <c r="H25" s="446"/>
      <c r="I25" s="446"/>
      <c r="J25" s="447"/>
      <c r="K25" s="10"/>
    </row>
    <row r="26" spans="1:18" ht="12.75" customHeight="1" thickTop="1" thickBot="1">
      <c r="A26" s="35"/>
      <c r="B26" s="108"/>
      <c r="C26" s="108"/>
      <c r="D26" s="108"/>
      <c r="E26" s="11"/>
      <c r="F26" s="108"/>
      <c r="G26" s="32"/>
      <c r="H26" s="136" t="s">
        <v>403</v>
      </c>
      <c r="I26" s="179">
        <v>0.1</v>
      </c>
      <c r="J26" s="182" t="s">
        <v>21</v>
      </c>
      <c r="K26" s="10"/>
    </row>
    <row r="27" spans="1:18" ht="12.75" customHeight="1" thickTop="1">
      <c r="A27" s="35"/>
      <c r="B27" s="457" t="s">
        <v>24</v>
      </c>
      <c r="C27" s="458"/>
      <c r="D27" s="458"/>
      <c r="E27" s="459"/>
      <c r="F27" s="108"/>
      <c r="G27" s="168"/>
      <c r="H27" s="136" t="s">
        <v>404</v>
      </c>
      <c r="I27" s="31">
        <f>I15/I26</f>
        <v>5.1278534843374668E-4</v>
      </c>
      <c r="J27" s="182" t="s">
        <v>266</v>
      </c>
      <c r="K27" s="10"/>
    </row>
    <row r="28" spans="1:18" ht="12.75" customHeight="1" thickBot="1">
      <c r="A28" s="35"/>
      <c r="B28" s="22"/>
      <c r="C28" s="21"/>
      <c r="D28" s="21"/>
      <c r="E28" s="23"/>
      <c r="F28" s="108"/>
      <c r="G28" s="169"/>
      <c r="H28" s="139" t="s">
        <v>264</v>
      </c>
      <c r="I28" s="180">
        <f>SQRT(I27/D38)</f>
        <v>7.1609032142163923E-2</v>
      </c>
      <c r="J28" s="181" t="s">
        <v>265</v>
      </c>
      <c r="K28" s="10"/>
    </row>
    <row r="29" spans="1:18" ht="12.75" customHeight="1" thickTop="1">
      <c r="A29" s="35"/>
      <c r="B29" s="353" t="s">
        <v>221</v>
      </c>
      <c r="C29" s="354"/>
      <c r="D29" s="354"/>
      <c r="E29" s="355"/>
      <c r="F29" s="108"/>
      <c r="G29" s="35"/>
      <c r="H29" s="108"/>
      <c r="I29" s="108"/>
      <c r="J29" s="108"/>
      <c r="K29" s="10"/>
    </row>
    <row r="30" spans="1:18" ht="12.75" customHeight="1">
      <c r="A30" s="35"/>
      <c r="B30" s="110" t="s">
        <v>2</v>
      </c>
      <c r="C30" s="138" t="s">
        <v>242</v>
      </c>
      <c r="D30" s="131">
        <v>2</v>
      </c>
      <c r="E30" s="132" t="s">
        <v>224</v>
      </c>
      <c r="F30" s="108"/>
      <c r="G30" s="35"/>
      <c r="H30" s="108"/>
      <c r="I30" s="108"/>
      <c r="J30" s="108"/>
      <c r="K30" s="10"/>
    </row>
    <row r="31" spans="1:18" ht="12.75" customHeight="1">
      <c r="A31" s="35"/>
      <c r="B31" s="110" t="s">
        <v>3</v>
      </c>
      <c r="C31" s="138" t="s">
        <v>238</v>
      </c>
      <c r="D31" s="131">
        <v>1.5</v>
      </c>
      <c r="E31" s="132" t="s">
        <v>32</v>
      </c>
      <c r="F31" s="108"/>
      <c r="G31" s="35"/>
      <c r="H31" s="108"/>
      <c r="I31" s="108"/>
      <c r="J31" s="108"/>
      <c r="K31" s="10"/>
    </row>
    <row r="32" spans="1:18" ht="12.75" customHeight="1">
      <c r="A32" s="35"/>
      <c r="B32" s="110" t="s">
        <v>4</v>
      </c>
      <c r="C32" s="138" t="s">
        <v>239</v>
      </c>
      <c r="D32" s="131">
        <v>1</v>
      </c>
      <c r="E32" s="132" t="s">
        <v>209</v>
      </c>
      <c r="F32" s="108"/>
      <c r="G32" s="35"/>
      <c r="H32" s="108"/>
      <c r="I32" s="108"/>
      <c r="J32" s="108"/>
      <c r="K32" s="10"/>
    </row>
    <row r="33" spans="1:11" ht="12.75" customHeight="1">
      <c r="A33" s="35"/>
      <c r="B33" s="110" t="s">
        <v>212</v>
      </c>
      <c r="C33" s="138" t="s">
        <v>240</v>
      </c>
      <c r="D33" s="131">
        <v>12</v>
      </c>
      <c r="E33" s="132" t="s">
        <v>60</v>
      </c>
      <c r="F33" s="108"/>
      <c r="G33" s="35"/>
      <c r="H33" s="108"/>
      <c r="I33" s="108"/>
      <c r="J33" s="108"/>
      <c r="K33" s="10"/>
    </row>
    <row r="34" spans="1:11" ht="12.75" customHeight="1">
      <c r="A34" s="35"/>
      <c r="B34" s="110" t="s">
        <v>225</v>
      </c>
      <c r="C34" s="138" t="s">
        <v>243</v>
      </c>
      <c r="D34" s="131">
        <v>0.06</v>
      </c>
      <c r="E34" s="132" t="s">
        <v>210</v>
      </c>
      <c r="F34" s="108"/>
      <c r="G34" s="35"/>
      <c r="H34" s="108"/>
      <c r="I34" s="108"/>
      <c r="J34" s="108"/>
      <c r="K34" s="10"/>
    </row>
    <row r="35" spans="1:11" ht="12.75" customHeight="1">
      <c r="A35" s="35"/>
      <c r="B35" s="110" t="s">
        <v>5</v>
      </c>
      <c r="C35" s="138" t="s">
        <v>241</v>
      </c>
      <c r="D35" s="131">
        <v>2</v>
      </c>
      <c r="E35" s="132" t="s">
        <v>223</v>
      </c>
      <c r="F35" s="108"/>
      <c r="G35" s="35"/>
      <c r="H35" s="108"/>
      <c r="I35" s="108"/>
      <c r="J35" s="108"/>
      <c r="K35" s="10"/>
    </row>
    <row r="36" spans="1:11" ht="12.75" customHeight="1">
      <c r="A36" s="35"/>
      <c r="B36" s="110" t="s">
        <v>263</v>
      </c>
      <c r="C36" s="138" t="s">
        <v>252</v>
      </c>
      <c r="D36" s="138"/>
      <c r="E36" s="132"/>
      <c r="F36" s="108"/>
      <c r="G36" s="35"/>
      <c r="H36" s="108"/>
      <c r="I36" s="108"/>
      <c r="J36" s="108"/>
      <c r="K36" s="10"/>
    </row>
    <row r="37" spans="1:11" ht="12.75" customHeight="1">
      <c r="A37" s="35"/>
      <c r="B37" s="460" t="s">
        <v>220</v>
      </c>
      <c r="C37" s="461"/>
      <c r="D37" s="461"/>
      <c r="E37" s="462"/>
      <c r="F37" s="108"/>
      <c r="G37" s="35"/>
      <c r="H37" s="108"/>
      <c r="I37" s="108"/>
      <c r="J37" s="108"/>
      <c r="K37" s="10"/>
    </row>
    <row r="38" spans="1:11" s="27" customFormat="1" ht="12.75" customHeight="1">
      <c r="A38" s="36"/>
      <c r="B38" s="26" t="s">
        <v>26</v>
      </c>
      <c r="C38" s="109">
        <v>0.1</v>
      </c>
      <c r="D38" s="24">
        <f>IF(C38&lt;&gt;"",C38,IF(AND(D50&lt;&gt;"",D51&lt;&gt;""),MAX(D50,D51,D30),D30))</f>
        <v>0.1</v>
      </c>
      <c r="E38" s="23" t="s">
        <v>27</v>
      </c>
      <c r="F38" s="36"/>
      <c r="G38" s="36"/>
      <c r="H38" s="36"/>
      <c r="I38" s="36"/>
      <c r="J38" s="36"/>
      <c r="K38" s="36"/>
    </row>
    <row r="39" spans="1:11" ht="12.75" customHeight="1">
      <c r="A39" s="35"/>
      <c r="B39" s="26" t="s">
        <v>28</v>
      </c>
      <c r="C39" s="109">
        <v>0.05</v>
      </c>
      <c r="D39" s="24">
        <f>IF(C39&lt;&gt;"",C39,IF(AND(D50&lt;&gt;"",D51&lt;&gt;""),MIN(D50,D51,D30),D30))</f>
        <v>0.05</v>
      </c>
      <c r="E39" s="23" t="s">
        <v>27</v>
      </c>
      <c r="F39" s="108"/>
      <c r="G39" s="35"/>
      <c r="H39" s="108"/>
      <c r="I39" s="108"/>
      <c r="J39" s="108"/>
      <c r="K39" s="10"/>
    </row>
    <row r="40" spans="1:11" ht="12.75" customHeight="1">
      <c r="A40" s="35"/>
      <c r="B40" s="26" t="s">
        <v>29</v>
      </c>
      <c r="C40" s="109">
        <v>0.06</v>
      </c>
      <c r="D40" s="24">
        <f>IF(C40&lt;&gt;"",C40,D34)</f>
        <v>0.06</v>
      </c>
      <c r="E40" s="23" t="s">
        <v>30</v>
      </c>
      <c r="F40" s="108"/>
      <c r="G40" s="35"/>
      <c r="H40" s="108"/>
      <c r="I40" s="108"/>
      <c r="J40" s="108"/>
      <c r="K40" s="10"/>
    </row>
    <row r="41" spans="1:11" ht="12.75" customHeight="1">
      <c r="A41" s="35"/>
      <c r="B41" s="26" t="s">
        <v>31</v>
      </c>
      <c r="C41" s="109">
        <v>0.15</v>
      </c>
      <c r="D41" s="24">
        <f>IF(C41&lt;&gt;"",C41,0.25)</f>
        <v>0.15</v>
      </c>
      <c r="E41" s="23" t="s">
        <v>32</v>
      </c>
      <c r="F41" s="108"/>
      <c r="G41" s="35"/>
      <c r="H41" s="108"/>
      <c r="I41" s="108"/>
      <c r="J41" s="108"/>
      <c r="K41" s="10"/>
    </row>
    <row r="42" spans="1:11" ht="12.75" customHeight="1">
      <c r="A42" s="35"/>
      <c r="B42" s="26" t="s">
        <v>33</v>
      </c>
      <c r="C42" s="109">
        <v>0.15</v>
      </c>
      <c r="D42" s="24">
        <f>IF(C42&lt;&gt;"",C42,0.25)</f>
        <v>0.15</v>
      </c>
      <c r="E42" s="23" t="s">
        <v>32</v>
      </c>
      <c r="F42" s="108"/>
      <c r="G42" s="35"/>
      <c r="H42" s="108"/>
      <c r="I42" s="108"/>
      <c r="J42" s="108"/>
      <c r="K42" s="10"/>
    </row>
    <row r="43" spans="1:11" ht="12.75" customHeight="1">
      <c r="A43" s="35"/>
      <c r="B43" s="26"/>
      <c r="C43" s="21"/>
      <c r="D43" s="21"/>
      <c r="E43" s="23"/>
      <c r="F43" s="108"/>
      <c r="G43" s="35"/>
      <c r="H43" s="108"/>
      <c r="I43" s="108"/>
      <c r="J43" s="108"/>
      <c r="K43" s="10"/>
    </row>
    <row r="44" spans="1:11" ht="12.75" customHeight="1">
      <c r="A44" s="35"/>
      <c r="B44" s="26" t="s">
        <v>34</v>
      </c>
      <c r="C44" s="109"/>
      <c r="D44" s="25">
        <f>IF(C44&lt;&gt;"",C44,D35)</f>
        <v>2</v>
      </c>
      <c r="E44" s="23" t="s">
        <v>223</v>
      </c>
      <c r="F44" s="108"/>
      <c r="G44" s="35"/>
      <c r="H44" s="108"/>
      <c r="I44" s="108"/>
      <c r="J44" s="108"/>
      <c r="K44" s="10"/>
    </row>
    <row r="45" spans="1:11" ht="12.75" customHeight="1">
      <c r="A45" s="35"/>
      <c r="B45" s="26" t="s">
        <v>35</v>
      </c>
      <c r="C45" s="109"/>
      <c r="D45" s="25">
        <f>IF(C45&lt;&gt;"",C45,VLOOKUP(C36,O3:Q21,3))</f>
        <v>0.58124999999999993</v>
      </c>
      <c r="E45" s="23" t="s">
        <v>223</v>
      </c>
      <c r="F45" s="35"/>
      <c r="G45" s="35"/>
      <c r="H45" s="35"/>
      <c r="I45" s="35"/>
      <c r="J45" s="35"/>
      <c r="K45" s="35"/>
    </row>
    <row r="46" spans="1:11" ht="12.75" customHeight="1">
      <c r="A46" s="35"/>
      <c r="B46" s="26" t="s">
        <v>36</v>
      </c>
      <c r="C46" s="109"/>
      <c r="D46" s="25">
        <f>IF(C46&lt;&gt;"",C46,1)</f>
        <v>1</v>
      </c>
      <c r="E46" s="23" t="s">
        <v>37</v>
      </c>
      <c r="F46" s="35"/>
      <c r="G46" s="35"/>
      <c r="H46" s="35"/>
      <c r="I46" s="35"/>
      <c r="J46" s="35"/>
      <c r="K46" s="35"/>
    </row>
    <row r="47" spans="1:11" ht="12.75" customHeight="1">
      <c r="A47" s="35"/>
      <c r="B47" s="26"/>
      <c r="C47" s="21"/>
      <c r="D47" s="21"/>
      <c r="E47" s="23"/>
      <c r="F47" s="35"/>
      <c r="G47" s="35"/>
      <c r="H47" s="35"/>
      <c r="I47" s="35"/>
      <c r="J47" s="35"/>
      <c r="K47" s="35"/>
    </row>
    <row r="48" spans="1:11" ht="12.75" customHeight="1">
      <c r="A48" s="35"/>
      <c r="B48" s="26" t="s">
        <v>213</v>
      </c>
      <c r="C48" s="21"/>
      <c r="D48" s="107">
        <f>D31</f>
        <v>1.5</v>
      </c>
      <c r="E48" s="23" t="s">
        <v>32</v>
      </c>
      <c r="F48" s="35"/>
      <c r="G48" s="35"/>
      <c r="H48" s="35"/>
      <c r="I48" s="35"/>
      <c r="J48" s="35"/>
      <c r="K48" s="35"/>
    </row>
    <row r="49" spans="1:11" ht="12.75" customHeight="1">
      <c r="A49" s="35"/>
      <c r="B49" s="26" t="s">
        <v>214</v>
      </c>
      <c r="C49" s="21"/>
      <c r="D49" s="107">
        <f>SQRT(D32/PI()/D48)</f>
        <v>0.46065886596178063</v>
      </c>
      <c r="E49" s="23" t="s">
        <v>32</v>
      </c>
      <c r="F49" s="35"/>
      <c r="G49" s="35"/>
      <c r="H49" s="35"/>
      <c r="I49" s="35"/>
      <c r="J49" s="35"/>
      <c r="K49" s="35"/>
    </row>
    <row r="50" spans="1:11" ht="12.75" customHeight="1">
      <c r="A50" s="35"/>
      <c r="B50" s="26" t="s">
        <v>215</v>
      </c>
      <c r="C50" s="21"/>
      <c r="D50" s="107">
        <f>(3*D49^2+D48^2)*D33/12</f>
        <v>2.886619772367581</v>
      </c>
      <c r="E50" s="23" t="s">
        <v>27</v>
      </c>
      <c r="F50" s="35"/>
      <c r="G50" s="35"/>
      <c r="H50" s="35"/>
      <c r="I50" s="35"/>
      <c r="J50" s="35"/>
      <c r="K50" s="35"/>
    </row>
    <row r="51" spans="1:11" ht="12.75" customHeight="1">
      <c r="A51" s="35"/>
      <c r="B51" s="26" t="s">
        <v>216</v>
      </c>
      <c r="C51" s="21"/>
      <c r="D51" s="107">
        <f>D49^2*D33/2</f>
        <v>1.2732395447351625</v>
      </c>
      <c r="E51" s="23" t="s">
        <v>27</v>
      </c>
      <c r="F51" s="35"/>
      <c r="G51" s="35"/>
      <c r="H51" s="35"/>
      <c r="I51" s="35"/>
      <c r="J51" s="35"/>
      <c r="K51" s="35"/>
    </row>
    <row r="52" spans="1:11" ht="12.75" customHeight="1">
      <c r="A52" s="35"/>
      <c r="B52" s="26"/>
      <c r="C52" s="21"/>
      <c r="D52" s="107"/>
      <c r="E52" s="23"/>
      <c r="F52" s="35"/>
      <c r="G52" s="35"/>
      <c r="H52" s="35"/>
      <c r="I52" s="35"/>
      <c r="J52" s="35"/>
      <c r="K52" s="35"/>
    </row>
    <row r="53" spans="1:11" ht="12.75" customHeight="1">
      <c r="A53" s="35"/>
      <c r="B53" s="431" t="s">
        <v>222</v>
      </c>
      <c r="C53" s="432"/>
      <c r="D53" s="432"/>
      <c r="E53" s="433"/>
      <c r="F53" s="35"/>
      <c r="G53" s="35"/>
      <c r="H53" s="35"/>
      <c r="I53" s="35"/>
      <c r="J53" s="35"/>
      <c r="K53" s="35"/>
    </row>
    <row r="54" spans="1:11" ht="12.75" customHeight="1">
      <c r="A54" s="35"/>
      <c r="B54" s="176" t="s">
        <v>203</v>
      </c>
      <c r="C54" s="175" t="s">
        <v>241</v>
      </c>
      <c r="D54" s="111">
        <f>D44</f>
        <v>2</v>
      </c>
      <c r="E54" s="112" t="s">
        <v>223</v>
      </c>
      <c r="F54" s="35"/>
      <c r="G54" s="35"/>
      <c r="H54" s="35"/>
      <c r="I54" s="35"/>
      <c r="J54" s="35"/>
      <c r="K54" s="35"/>
    </row>
    <row r="55" spans="1:11" ht="12.75" customHeight="1" thickBot="1">
      <c r="A55" s="35"/>
      <c r="B55" s="143"/>
      <c r="C55" s="144"/>
      <c r="D55" s="144"/>
      <c r="E55" s="145"/>
      <c r="F55" s="35"/>
      <c r="G55" s="35"/>
      <c r="H55" s="35"/>
      <c r="I55" s="35"/>
      <c r="J55" s="35"/>
      <c r="K55" s="35"/>
    </row>
    <row r="56" spans="1:11" ht="12.75" customHeight="1" thickTop="1" thickBot="1">
      <c r="A56" s="35"/>
      <c r="B56" s="108"/>
      <c r="C56" s="108"/>
      <c r="D56" s="108"/>
      <c r="E56" s="108"/>
      <c r="F56" s="35"/>
      <c r="G56" s="35"/>
      <c r="H56" s="35"/>
      <c r="I56" s="35"/>
      <c r="J56" s="35"/>
      <c r="K56" s="35"/>
    </row>
    <row r="57" spans="1:11" ht="12.75" customHeight="1" thickTop="1">
      <c r="A57" s="35"/>
      <c r="B57" s="434" t="s">
        <v>38</v>
      </c>
      <c r="C57" s="435"/>
      <c r="D57" s="435"/>
      <c r="E57" s="436"/>
      <c r="F57" s="35"/>
      <c r="G57" s="35"/>
      <c r="H57" s="35"/>
      <c r="I57" s="35"/>
      <c r="J57" s="35"/>
      <c r="K57" s="35"/>
    </row>
    <row r="58" spans="1:11">
      <c r="A58" s="35"/>
      <c r="B58" s="28"/>
      <c r="C58" s="146"/>
      <c r="D58" s="146"/>
      <c r="E58" s="29"/>
      <c r="F58" s="35"/>
      <c r="G58" s="10"/>
      <c r="H58" s="10"/>
      <c r="I58" s="10"/>
      <c r="J58" s="10"/>
      <c r="K58" s="35"/>
    </row>
    <row r="59" spans="1:11">
      <c r="A59" s="35"/>
      <c r="B59" s="437" t="s">
        <v>220</v>
      </c>
      <c r="C59" s="438"/>
      <c r="D59" s="438"/>
      <c r="E59" s="439"/>
      <c r="F59" s="35"/>
      <c r="G59" s="10"/>
      <c r="H59" s="10"/>
      <c r="I59" s="10"/>
      <c r="J59" s="10"/>
      <c r="K59" s="35"/>
    </row>
    <row r="60" spans="1:11">
      <c r="A60" s="35"/>
      <c r="B60" s="147" t="s">
        <v>39</v>
      </c>
      <c r="C60" s="109">
        <v>70</v>
      </c>
      <c r="D60" s="30">
        <v>90</v>
      </c>
      <c r="E60" s="29" t="s">
        <v>21</v>
      </c>
      <c r="F60" s="10"/>
      <c r="G60" s="10"/>
      <c r="H60" s="10"/>
      <c r="I60" s="10"/>
      <c r="J60" s="10"/>
      <c r="K60" s="10"/>
    </row>
    <row r="61" spans="1:11" ht="12.75">
      <c r="A61" s="10"/>
      <c r="B61" s="147" t="s">
        <v>40</v>
      </c>
      <c r="C61" s="109">
        <v>120</v>
      </c>
      <c r="D61" s="30">
        <f>IF(C61&lt;&gt;"",C61,"")</f>
        <v>120</v>
      </c>
      <c r="E61" s="29" t="s">
        <v>211</v>
      </c>
      <c r="F61" s="10"/>
      <c r="G61" s="10"/>
      <c r="H61" s="10"/>
      <c r="I61" s="10"/>
      <c r="J61" s="10"/>
      <c r="K61" s="10"/>
    </row>
    <row r="62" spans="1:11" thickBot="1">
      <c r="A62" s="10"/>
      <c r="B62" s="148"/>
      <c r="C62" s="149"/>
      <c r="D62" s="149"/>
      <c r="E62" s="150"/>
      <c r="F62" s="10"/>
      <c r="G62" s="10"/>
      <c r="H62" s="10"/>
      <c r="I62" s="10"/>
      <c r="J62" s="10"/>
      <c r="K62" s="10"/>
    </row>
    <row r="63" spans="1:11" thickTop="1">
      <c r="A63" s="10"/>
      <c r="B63" s="10"/>
      <c r="C63" s="10"/>
      <c r="D63" s="10"/>
      <c r="E63" s="10"/>
      <c r="F63" s="10"/>
      <c r="G63" s="10"/>
      <c r="H63" s="10"/>
      <c r="I63" s="10"/>
      <c r="J63" s="10"/>
      <c r="K63" s="10"/>
    </row>
  </sheetData>
  <mergeCells count="14">
    <mergeCell ref="B53:E53"/>
    <mergeCell ref="B57:E57"/>
    <mergeCell ref="B59:E59"/>
    <mergeCell ref="A2:K2"/>
    <mergeCell ref="B5:E5"/>
    <mergeCell ref="G5:J5"/>
    <mergeCell ref="B15:E15"/>
    <mergeCell ref="B7:E7"/>
    <mergeCell ref="G7:J7"/>
    <mergeCell ref="G20:J20"/>
    <mergeCell ref="G25:J25"/>
    <mergeCell ref="B27:E27"/>
    <mergeCell ref="B37:E37"/>
    <mergeCell ref="A3:K3"/>
  </mergeCells>
  <phoneticPr fontId="0" type="noConversion"/>
  <dataValidations count="1">
    <dataValidation type="list" allowBlank="1" showInputMessage="1" showErrorMessage="1" sqref="C36">
      <formula1>$O$3:$O$21</formula1>
    </dataValidation>
  </dataValidations>
  <pageMargins left="0.75" right="0.75" top="1" bottom="1" header="0.5" footer="0.5"/>
  <pageSetup scale="51" orientation="landscape" horizont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7" r:id="rId4" name="Button 29">
              <controlPr defaultSize="0" print="0" autoFill="0" autoPict="0" macro="[0]!EvaluateTorques">
                <anchor moveWithCells="1" sizeWithCells="1">
                  <from>
                    <xdr:col>7</xdr:col>
                    <xdr:colOff>428625</xdr:colOff>
                    <xdr:row>17</xdr:row>
                    <xdr:rowOff>28575</xdr:rowOff>
                  </from>
                  <to>
                    <xdr:col>8</xdr:col>
                    <xdr:colOff>590550</xdr:colOff>
                    <xdr:row>18</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Constants!$K$30:$K$39</xm:f>
          </x14:formula1>
          <xm:sqref>I6</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538DD5"/>
  </sheetPr>
  <dimension ref="A1:M12"/>
  <sheetViews>
    <sheetView showGridLines="0" workbookViewId="0">
      <selection activeCell="C12" sqref="C12"/>
    </sheetView>
  </sheetViews>
  <sheetFormatPr defaultColWidth="10.1640625" defaultRowHeight="15"/>
  <cols>
    <col min="1" max="1" width="10.1640625" style="350"/>
    <col min="2" max="2" width="20.33203125" style="350" bestFit="1" customWidth="1"/>
    <col min="3" max="3" width="46.33203125" style="350" customWidth="1"/>
    <col min="4" max="4" width="13.6640625" style="350" customWidth="1"/>
    <col min="5" max="5" width="20" style="350" bestFit="1" customWidth="1"/>
    <col min="6" max="6" width="53.1640625" style="350" customWidth="1"/>
    <col min="7" max="7" width="10.1640625" style="350"/>
    <col min="8" max="16384" width="10.1640625" style="348"/>
  </cols>
  <sheetData>
    <row r="1" spans="2:13" ht="30" customHeight="1">
      <c r="B1" s="465" t="s">
        <v>438</v>
      </c>
      <c r="C1" s="466"/>
      <c r="D1" s="466"/>
      <c r="E1" s="466"/>
      <c r="F1" s="467"/>
      <c r="G1" s="346"/>
      <c r="H1" s="347"/>
      <c r="I1" s="347"/>
      <c r="J1" s="347"/>
      <c r="K1" s="347"/>
      <c r="L1" s="347"/>
      <c r="M1" s="347"/>
    </row>
    <row r="3" spans="2:13">
      <c r="B3" s="349" t="s">
        <v>439</v>
      </c>
      <c r="C3" s="349"/>
      <c r="E3" s="349" t="s">
        <v>448</v>
      </c>
      <c r="F3" s="349"/>
    </row>
    <row r="4" spans="2:13">
      <c r="B4" s="351" t="s">
        <v>440</v>
      </c>
      <c r="C4" s="351" t="s">
        <v>441</v>
      </c>
      <c r="E4" s="351" t="s">
        <v>442</v>
      </c>
      <c r="F4" s="351" t="s">
        <v>441</v>
      </c>
    </row>
    <row r="5" spans="2:13">
      <c r="B5" s="350" t="s">
        <v>443</v>
      </c>
      <c r="E5" s="350" t="s">
        <v>449</v>
      </c>
    </row>
    <row r="6" spans="2:13">
      <c r="B6" s="350" t="s">
        <v>444</v>
      </c>
      <c r="E6" s="350" t="s">
        <v>450</v>
      </c>
    </row>
    <row r="7" spans="2:13">
      <c r="B7" s="350" t="s">
        <v>445</v>
      </c>
      <c r="E7" s="350" t="s">
        <v>451</v>
      </c>
    </row>
    <row r="8" spans="2:13">
      <c r="B8" s="350" t="s">
        <v>446</v>
      </c>
      <c r="E8" s="350" t="s">
        <v>452</v>
      </c>
    </row>
    <row r="9" spans="2:13">
      <c r="B9" s="350" t="s">
        <v>447</v>
      </c>
      <c r="E9" s="350" t="s">
        <v>453</v>
      </c>
    </row>
    <row r="10" spans="2:13">
      <c r="E10" s="350" t="s">
        <v>454</v>
      </c>
    </row>
    <row r="12" spans="2:13">
      <c r="B12" s="352"/>
      <c r="C12" s="352"/>
    </row>
  </sheetData>
  <mergeCells count="1">
    <mergeCell ref="B1:F1"/>
  </mergeCells>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theme="3" tint="0.39997558519241921"/>
    <pageSetUpPr fitToPage="1"/>
  </sheetPr>
  <dimension ref="A1:S90"/>
  <sheetViews>
    <sheetView zoomScale="70" zoomScaleNormal="70" workbookViewId="0">
      <selection activeCell="O31" sqref="O31"/>
    </sheetView>
  </sheetViews>
  <sheetFormatPr defaultColWidth="9.33203125" defaultRowHeight="12.75"/>
  <cols>
    <col min="1" max="1" width="9.33203125" style="3" customWidth="1"/>
    <col min="2" max="2" width="1.83203125" style="3" customWidth="1"/>
    <col min="3" max="3" width="29.83203125" style="3" customWidth="1"/>
    <col min="4" max="4" width="11.83203125" style="3" customWidth="1"/>
    <col min="5" max="5" width="13.83203125" style="3" customWidth="1"/>
    <col min="6" max="6" width="9.83203125" style="5" customWidth="1"/>
    <col min="7" max="7" width="3.33203125" style="3" customWidth="1"/>
    <col min="8" max="8" width="1.83203125" style="3" customWidth="1"/>
    <col min="9" max="9" width="28.5" style="3" customWidth="1"/>
    <col min="10" max="10" width="14.6640625" style="3" customWidth="1"/>
    <col min="11" max="11" width="14.83203125" style="3" customWidth="1"/>
    <col min="12" max="12" width="8.83203125" style="3" customWidth="1"/>
    <col min="13" max="13" width="3.33203125" style="3" customWidth="1"/>
    <col min="14" max="14" width="1.83203125" style="3" customWidth="1"/>
    <col min="15" max="15" width="33.83203125" style="3" customWidth="1"/>
    <col min="16" max="16" width="11.83203125" style="3" customWidth="1"/>
    <col min="17" max="17" width="13.83203125" style="3" customWidth="1"/>
    <col min="18" max="18" width="7.83203125" style="6" customWidth="1"/>
    <col min="19" max="16384" width="9.33203125" style="3"/>
  </cols>
  <sheetData>
    <row r="1" spans="1:19" ht="36.75" customHeight="1">
      <c r="A1" s="7"/>
      <c r="B1" s="8"/>
      <c r="C1" s="8"/>
      <c r="D1" s="8"/>
      <c r="E1" s="8"/>
      <c r="F1" s="9"/>
      <c r="G1" s="8"/>
      <c r="H1" s="8"/>
      <c r="I1" s="8"/>
      <c r="J1" s="8"/>
      <c r="K1" s="8"/>
      <c r="L1" s="10"/>
      <c r="M1" s="10"/>
      <c r="N1" s="10"/>
      <c r="O1" s="10"/>
      <c r="P1" s="10"/>
      <c r="Q1" s="10"/>
      <c r="R1" s="11"/>
      <c r="S1" s="10"/>
    </row>
    <row r="2" spans="1:19" ht="12.75" customHeight="1">
      <c r="A2" s="471" t="s">
        <v>42</v>
      </c>
      <c r="B2" s="472"/>
      <c r="C2" s="472"/>
      <c r="D2" s="472"/>
      <c r="E2" s="472"/>
      <c r="F2" s="472"/>
      <c r="G2" s="472"/>
      <c r="H2" s="472"/>
      <c r="I2" s="472"/>
      <c r="J2" s="472"/>
      <c r="K2" s="472"/>
      <c r="L2" s="472"/>
      <c r="M2" s="472"/>
      <c r="N2" s="472"/>
      <c r="O2" s="472"/>
      <c r="P2" s="472"/>
      <c r="Q2" s="472"/>
      <c r="R2" s="472"/>
      <c r="S2" s="472"/>
    </row>
    <row r="3" spans="1:19" ht="12.75" customHeight="1">
      <c r="A3" s="10"/>
      <c r="B3" s="10"/>
      <c r="C3" s="133" t="s">
        <v>235</v>
      </c>
      <c r="D3" s="82" t="s">
        <v>236</v>
      </c>
      <c r="E3" s="10"/>
      <c r="F3" s="82"/>
      <c r="G3" s="10"/>
      <c r="H3" s="10"/>
      <c r="I3" s="10"/>
      <c r="J3" s="10"/>
      <c r="K3" s="10"/>
      <c r="L3" s="10"/>
      <c r="M3" s="10"/>
      <c r="N3" s="10"/>
      <c r="O3" s="10"/>
      <c r="P3" s="10"/>
      <c r="Q3" s="10"/>
      <c r="R3" s="11"/>
      <c r="S3" s="10"/>
    </row>
    <row r="4" spans="1:19" ht="12.75" customHeight="1" thickBot="1">
      <c r="A4" s="10"/>
      <c r="B4" s="10"/>
      <c r="C4" s="10"/>
      <c r="D4" s="10"/>
      <c r="E4" s="10"/>
      <c r="F4" s="82"/>
      <c r="G4" s="10"/>
      <c r="H4" s="10"/>
      <c r="I4" s="10"/>
      <c r="J4" s="10"/>
      <c r="K4" s="10"/>
      <c r="L4" s="10"/>
      <c r="M4" s="10"/>
      <c r="N4" s="10"/>
      <c r="O4" s="10"/>
      <c r="P4" s="10"/>
      <c r="Q4" s="10"/>
      <c r="R4" s="11"/>
      <c r="S4" s="10"/>
    </row>
    <row r="5" spans="1:19" ht="12.75" customHeight="1" thickTop="1">
      <c r="A5" s="10"/>
      <c r="B5" s="468" t="s">
        <v>219</v>
      </c>
      <c r="C5" s="469"/>
      <c r="D5" s="469"/>
      <c r="E5" s="469"/>
      <c r="F5" s="469"/>
      <c r="G5" s="469"/>
      <c r="H5" s="469"/>
      <c r="I5" s="469"/>
      <c r="J5" s="469"/>
      <c r="K5" s="469"/>
      <c r="L5" s="469"/>
      <c r="M5" s="469"/>
      <c r="N5" s="469"/>
      <c r="O5" s="469"/>
      <c r="P5" s="469"/>
      <c r="Q5" s="469"/>
      <c r="R5" s="470"/>
      <c r="S5" s="10"/>
    </row>
    <row r="6" spans="1:19" ht="12.75" customHeight="1">
      <c r="A6" s="10"/>
      <c r="B6" s="151"/>
      <c r="C6" s="152"/>
      <c r="D6" s="152"/>
      <c r="E6" s="152"/>
      <c r="F6" s="95"/>
      <c r="G6" s="152"/>
      <c r="H6" s="152"/>
      <c r="I6" s="152"/>
      <c r="J6" s="152"/>
      <c r="K6" s="152"/>
      <c r="L6" s="152"/>
      <c r="M6" s="152"/>
      <c r="N6" s="152"/>
      <c r="O6" s="152"/>
      <c r="P6" s="152"/>
      <c r="Q6" s="152"/>
      <c r="R6" s="96"/>
      <c r="S6" s="10"/>
    </row>
    <row r="7" spans="1:19" ht="12.75" customHeight="1">
      <c r="A7" s="10"/>
      <c r="B7" s="492" t="s">
        <v>220</v>
      </c>
      <c r="C7" s="493"/>
      <c r="D7" s="493"/>
      <c r="E7" s="493"/>
      <c r="F7" s="493"/>
      <c r="G7" s="493"/>
      <c r="H7" s="493"/>
      <c r="I7" s="493"/>
      <c r="J7" s="493"/>
      <c r="K7" s="493"/>
      <c r="L7" s="493"/>
      <c r="M7" s="493"/>
      <c r="N7" s="493"/>
      <c r="O7" s="493"/>
      <c r="P7" s="493"/>
      <c r="Q7" s="493"/>
      <c r="R7" s="494"/>
      <c r="S7" s="10"/>
    </row>
    <row r="8" spans="1:19" ht="12.75" customHeight="1">
      <c r="A8" s="10"/>
      <c r="B8" s="151" t="s">
        <v>43</v>
      </c>
      <c r="C8" s="152"/>
      <c r="D8" s="152"/>
      <c r="E8" s="97">
        <f>IF('Attitude Control - Torques'!D16&lt;&gt;"",'Attitude Control - Torques'!D16,"")</f>
        <v>400</v>
      </c>
      <c r="F8" s="98" t="s">
        <v>11</v>
      </c>
      <c r="G8" s="152"/>
      <c r="H8" s="152" t="s">
        <v>44</v>
      </c>
      <c r="I8" s="152"/>
      <c r="J8" s="152"/>
      <c r="K8" s="99">
        <f>MIN('Attitude Control - Torques'!I15,'Attitude Control - Torques'!I24)</f>
        <v>5.1278534843374673E-5</v>
      </c>
      <c r="L8" s="98" t="s">
        <v>13</v>
      </c>
      <c r="M8" s="152"/>
      <c r="N8" s="152" t="s">
        <v>45</v>
      </c>
      <c r="O8" s="152"/>
      <c r="P8" s="113"/>
      <c r="Q8" s="100">
        <f>IF(P8&lt;&gt;"",P8,IF('Attitude Control - Torques'!D61&lt;&gt;"",'Attitude Control - Torques'!D61,""))</f>
        <v>120</v>
      </c>
      <c r="R8" s="96" t="s">
        <v>211</v>
      </c>
      <c r="S8" s="10"/>
    </row>
    <row r="9" spans="1:19" ht="12.75" customHeight="1">
      <c r="A9" s="10"/>
      <c r="B9" s="151" t="s">
        <v>46</v>
      </c>
      <c r="C9" s="152"/>
      <c r="D9" s="152"/>
      <c r="E9" s="101">
        <f>IF(E8&lt;&gt;"",2*PI()*SQRT((Earth_Radius+E8)^3/Earth_Mu)/60,"")</f>
        <v>92.560404520870463</v>
      </c>
      <c r="F9" s="98" t="s">
        <v>47</v>
      </c>
      <c r="G9" s="152"/>
      <c r="H9" s="152" t="s">
        <v>48</v>
      </c>
      <c r="I9" s="152"/>
      <c r="J9" s="152"/>
      <c r="K9" s="99">
        <f>IF('Attitude Control - Torques'!I17&lt;&gt;"",'Attitude Control - Torques'!I17,"")</f>
        <v>4.3633231299858234E-5</v>
      </c>
      <c r="L9" s="98" t="s">
        <v>13</v>
      </c>
      <c r="M9" s="152"/>
      <c r="N9" s="152" t="s">
        <v>49</v>
      </c>
      <c r="O9" s="152"/>
      <c r="P9" s="152"/>
      <c r="Q9" s="101">
        <f>IF('Attitude Control - Torques'!D60&lt;&gt;"",'Attitude Control - Torques'!D60,"")</f>
        <v>90</v>
      </c>
      <c r="R9" s="96" t="s">
        <v>21</v>
      </c>
      <c r="S9" s="10"/>
    </row>
    <row r="10" spans="1:19" ht="12.75" customHeight="1">
      <c r="A10" s="10"/>
      <c r="B10" s="151" t="s">
        <v>50</v>
      </c>
      <c r="C10" s="152"/>
      <c r="D10" s="152"/>
      <c r="E10" s="101">
        <f>IF('Attitude Control - Torques'!D38&lt;&gt;"",'Attitude Control - Torques'!D38,"")</f>
        <v>0.1</v>
      </c>
      <c r="F10" s="98" t="s">
        <v>27</v>
      </c>
      <c r="G10" s="152"/>
      <c r="H10" s="152"/>
      <c r="I10" s="152"/>
      <c r="J10" s="152"/>
      <c r="K10" s="152"/>
      <c r="L10" s="152"/>
      <c r="M10" s="152"/>
      <c r="N10" s="102"/>
      <c r="O10" s="102"/>
      <c r="P10" s="152"/>
      <c r="Q10" s="152"/>
      <c r="R10" s="96"/>
      <c r="S10" s="10"/>
    </row>
    <row r="11" spans="1:19" ht="12.75" customHeight="1" thickBot="1">
      <c r="A11" s="10"/>
      <c r="B11" s="153"/>
      <c r="C11" s="154"/>
      <c r="D11" s="154"/>
      <c r="E11" s="103"/>
      <c r="F11" s="104"/>
      <c r="G11" s="154"/>
      <c r="H11" s="154"/>
      <c r="I11" s="154"/>
      <c r="J11" s="154"/>
      <c r="K11" s="154"/>
      <c r="L11" s="154"/>
      <c r="M11" s="154"/>
      <c r="N11" s="105"/>
      <c r="O11" s="105"/>
      <c r="P11" s="154"/>
      <c r="Q11" s="154"/>
      <c r="R11" s="106"/>
      <c r="S11" s="10"/>
    </row>
    <row r="12" spans="1:19" ht="12.75" customHeight="1" thickTop="1" thickBot="1">
      <c r="A12" s="1"/>
      <c r="B12" s="108"/>
      <c r="C12" s="108"/>
      <c r="D12" s="108"/>
      <c r="E12" s="108"/>
      <c r="F12" s="11"/>
      <c r="G12" s="108"/>
      <c r="H12" s="108"/>
      <c r="I12" s="108"/>
      <c r="J12" s="108"/>
      <c r="K12" s="108"/>
      <c r="L12" s="11"/>
      <c r="M12" s="108"/>
      <c r="N12" s="108"/>
      <c r="O12" s="108"/>
      <c r="P12" s="108"/>
      <c r="Q12" s="108"/>
      <c r="R12" s="11"/>
      <c r="S12" s="10"/>
    </row>
    <row r="13" spans="1:19" s="4" customFormat="1" ht="12.75" customHeight="1" thickTop="1">
      <c r="A13" s="91"/>
      <c r="B13" s="442" t="s">
        <v>51</v>
      </c>
      <c r="C13" s="443"/>
      <c r="D13" s="443"/>
      <c r="E13" s="443"/>
      <c r="F13" s="443"/>
      <c r="G13" s="443"/>
      <c r="H13" s="443"/>
      <c r="I13" s="443"/>
      <c r="J13" s="443"/>
      <c r="K13" s="443"/>
      <c r="L13" s="443"/>
      <c r="M13" s="443"/>
      <c r="N13" s="443"/>
      <c r="O13" s="443"/>
      <c r="P13" s="443"/>
      <c r="Q13" s="443"/>
      <c r="R13" s="444"/>
      <c r="S13" s="92"/>
    </row>
    <row r="14" spans="1:19" s="4" customFormat="1" ht="12.75" customHeight="1">
      <c r="A14" s="91"/>
      <c r="B14" s="155"/>
      <c r="C14" s="156"/>
      <c r="D14" s="156"/>
      <c r="E14" s="156"/>
      <c r="F14" s="156"/>
      <c r="G14" s="156"/>
      <c r="H14" s="156"/>
      <c r="I14" s="156"/>
      <c r="J14" s="156"/>
      <c r="K14" s="156"/>
      <c r="L14" s="156"/>
      <c r="M14" s="156"/>
      <c r="N14" s="156"/>
      <c r="O14" s="156"/>
      <c r="P14" s="156"/>
      <c r="Q14" s="156"/>
      <c r="R14" s="157"/>
      <c r="S14" s="92"/>
    </row>
    <row r="15" spans="1:19" s="4" customFormat="1" ht="12.75" customHeight="1">
      <c r="A15" s="91"/>
      <c r="B15" s="495" t="s">
        <v>220</v>
      </c>
      <c r="C15" s="496"/>
      <c r="D15" s="496"/>
      <c r="E15" s="496"/>
      <c r="F15" s="496"/>
      <c r="G15" s="496"/>
      <c r="H15" s="496"/>
      <c r="I15" s="496"/>
      <c r="J15" s="496"/>
      <c r="K15" s="496"/>
      <c r="L15" s="496"/>
      <c r="M15" s="496"/>
      <c r="N15" s="496"/>
      <c r="O15" s="496"/>
      <c r="P15" s="496"/>
      <c r="Q15" s="496"/>
      <c r="R15" s="497"/>
      <c r="S15" s="92"/>
    </row>
    <row r="16" spans="1:19" ht="12.75" customHeight="1">
      <c r="A16" s="10"/>
      <c r="B16" s="123" t="s">
        <v>52</v>
      </c>
      <c r="C16" s="134"/>
      <c r="D16" s="115"/>
      <c r="E16" s="37">
        <f>IF(D16&lt;&gt;"",D16,K8)</f>
        <v>5.1278534843374673E-5</v>
      </c>
      <c r="F16" s="38" t="s">
        <v>13</v>
      </c>
      <c r="G16" s="134"/>
      <c r="H16" s="134" t="s">
        <v>53</v>
      </c>
      <c r="I16" s="134"/>
      <c r="J16" s="114"/>
      <c r="K16" s="19" t="str">
        <f>IF(J16&lt;&gt;"",J16,"")</f>
        <v/>
      </c>
      <c r="L16" s="38" t="s">
        <v>32</v>
      </c>
      <c r="M16" s="134"/>
      <c r="N16" s="134" t="s">
        <v>54</v>
      </c>
      <c r="O16" s="134"/>
      <c r="P16" s="134"/>
      <c r="Q16" s="19">
        <f>IF(AND(E9&lt;&gt;"",E17&lt;&gt;""),E16*E9*60/4/(E17*PI()/180),"")</f>
        <v>4.0791975980321205</v>
      </c>
      <c r="R16" s="17" t="s">
        <v>55</v>
      </c>
      <c r="S16" s="10"/>
    </row>
    <row r="17" spans="1:19" ht="12.75" customHeight="1">
      <c r="A17" s="10"/>
      <c r="B17" s="123" t="s">
        <v>56</v>
      </c>
      <c r="C17" s="134"/>
      <c r="D17" s="109">
        <v>1</v>
      </c>
      <c r="E17" s="16">
        <f>IF(D17&lt;&gt;"",D17,"")</f>
        <v>1</v>
      </c>
      <c r="F17" s="38" t="s">
        <v>21</v>
      </c>
      <c r="G17" s="134"/>
      <c r="H17" s="134" t="s">
        <v>57</v>
      </c>
      <c r="I17" s="134"/>
      <c r="J17" s="113"/>
      <c r="K17" s="39" t="str">
        <f>IF(J17&lt;&gt;"",J17,"")</f>
        <v/>
      </c>
      <c r="L17" s="38" t="s">
        <v>58</v>
      </c>
      <c r="M17" s="134"/>
      <c r="N17" s="134" t="s">
        <v>59</v>
      </c>
      <c r="O17" s="134"/>
      <c r="P17" s="113">
        <v>0.2</v>
      </c>
      <c r="Q17" s="39">
        <f>IF(P17="",IF(AND(K16&lt;&gt;"",K17&lt;&gt;"",Q16&lt;&gt;""),2*Q16/K16^2/(K17*2*PI()/60),""),P17)</f>
        <v>0.2</v>
      </c>
      <c r="R17" s="17" t="s">
        <v>60</v>
      </c>
      <c r="S17" s="10"/>
    </row>
    <row r="18" spans="1:19" ht="12.75" customHeight="1">
      <c r="A18" s="10"/>
      <c r="B18" s="123"/>
      <c r="C18" s="134"/>
      <c r="D18" s="39"/>
      <c r="E18" s="39"/>
      <c r="F18" s="39"/>
      <c r="G18" s="39"/>
      <c r="H18" s="39"/>
      <c r="I18" s="39"/>
      <c r="J18" s="39"/>
      <c r="K18" s="39"/>
      <c r="L18" s="38"/>
      <c r="M18" s="134"/>
      <c r="N18" s="134" t="s">
        <v>419</v>
      </c>
      <c r="O18" s="134"/>
      <c r="P18" s="113"/>
      <c r="Q18" s="39">
        <f>P18</f>
        <v>0</v>
      </c>
      <c r="R18" s="17" t="s">
        <v>100</v>
      </c>
      <c r="S18" s="10"/>
    </row>
    <row r="19" spans="1:19" ht="12.75" customHeight="1">
      <c r="A19" s="10"/>
      <c r="B19" s="489" t="s">
        <v>222</v>
      </c>
      <c r="C19" s="490"/>
      <c r="D19" s="490"/>
      <c r="E19" s="490"/>
      <c r="F19" s="490"/>
      <c r="G19" s="490"/>
      <c r="H19" s="490"/>
      <c r="I19" s="490"/>
      <c r="J19" s="490"/>
      <c r="K19" s="490"/>
      <c r="L19" s="490"/>
      <c r="M19" s="490"/>
      <c r="N19" s="490"/>
      <c r="O19" s="490"/>
      <c r="P19" s="490"/>
      <c r="Q19" s="490"/>
      <c r="R19" s="491"/>
      <c r="S19" s="10"/>
    </row>
    <row r="20" spans="1:19" ht="12.75" customHeight="1">
      <c r="A20" s="10"/>
      <c r="B20" s="124"/>
      <c r="C20" s="121"/>
      <c r="D20" s="121"/>
      <c r="E20" s="121"/>
      <c r="F20" s="120"/>
      <c r="G20" s="121"/>
      <c r="H20" s="121"/>
      <c r="I20" s="128" t="s">
        <v>418</v>
      </c>
      <c r="J20" s="121" t="s">
        <v>234</v>
      </c>
      <c r="K20" s="125">
        <f>Q18</f>
        <v>0</v>
      </c>
      <c r="L20" s="126" t="s">
        <v>100</v>
      </c>
      <c r="M20" s="121"/>
      <c r="N20" s="121"/>
      <c r="O20" s="128" t="s">
        <v>205</v>
      </c>
      <c r="P20" s="121" t="s">
        <v>231</v>
      </c>
      <c r="Q20" s="125">
        <f>Q17</f>
        <v>0.2</v>
      </c>
      <c r="R20" s="127" t="s">
        <v>60</v>
      </c>
      <c r="S20" s="10"/>
    </row>
    <row r="21" spans="1:19" ht="12.75" customHeight="1" thickBot="1">
      <c r="A21" s="10"/>
      <c r="B21" s="141"/>
      <c r="C21" s="142"/>
      <c r="D21" s="40"/>
      <c r="E21" s="41"/>
      <c r="F21" s="42"/>
      <c r="G21" s="142"/>
      <c r="H21" s="142"/>
      <c r="I21" s="142"/>
      <c r="J21" s="43"/>
      <c r="K21" s="44"/>
      <c r="L21" s="42"/>
      <c r="M21" s="142"/>
      <c r="N21" s="142"/>
      <c r="O21" s="142"/>
      <c r="P21" s="142"/>
      <c r="Q21" s="44"/>
      <c r="R21" s="20"/>
      <c r="S21" s="10"/>
    </row>
    <row r="22" spans="1:19" ht="12.75" customHeight="1" thickTop="1" thickBot="1">
      <c r="A22" s="10"/>
      <c r="B22" s="108"/>
      <c r="C22" s="108"/>
      <c r="D22" s="108"/>
      <c r="E22" s="108"/>
      <c r="F22" s="11"/>
      <c r="G22" s="108"/>
      <c r="H22" s="108"/>
      <c r="I22" s="108"/>
      <c r="J22" s="108"/>
      <c r="K22" s="108"/>
      <c r="L22" s="11"/>
      <c r="M22" s="108"/>
      <c r="N22" s="108"/>
      <c r="O22" s="108"/>
      <c r="P22" s="108"/>
      <c r="Q22" s="158"/>
      <c r="R22" s="11"/>
      <c r="S22" s="10"/>
    </row>
    <row r="23" spans="1:19" s="4" customFormat="1" ht="12.75" customHeight="1" thickTop="1">
      <c r="A23" s="91"/>
      <c r="B23" s="473" t="s">
        <v>61</v>
      </c>
      <c r="C23" s="474"/>
      <c r="D23" s="474"/>
      <c r="E23" s="474"/>
      <c r="F23" s="474"/>
      <c r="G23" s="474"/>
      <c r="H23" s="474"/>
      <c r="I23" s="474"/>
      <c r="J23" s="474"/>
      <c r="K23" s="474"/>
      <c r="L23" s="474"/>
      <c r="M23" s="474"/>
      <c r="N23" s="474"/>
      <c r="O23" s="474"/>
      <c r="P23" s="474"/>
      <c r="Q23" s="474"/>
      <c r="R23" s="475"/>
      <c r="S23" s="92"/>
    </row>
    <row r="24" spans="1:19" s="4" customFormat="1" ht="12.75" customHeight="1">
      <c r="A24" s="91"/>
      <c r="B24" s="51"/>
      <c r="C24" s="159"/>
      <c r="D24" s="159"/>
      <c r="E24" s="159"/>
      <c r="F24" s="45"/>
      <c r="G24" s="159"/>
      <c r="H24" s="159"/>
      <c r="I24" s="159"/>
      <c r="J24" s="159"/>
      <c r="K24" s="159"/>
      <c r="L24" s="45"/>
      <c r="M24" s="159"/>
      <c r="N24" s="159"/>
      <c r="O24" s="159"/>
      <c r="P24" s="159"/>
      <c r="Q24" s="160"/>
      <c r="R24" s="46"/>
      <c r="S24" s="92"/>
    </row>
    <row r="25" spans="1:19" s="4" customFormat="1" ht="12.75" customHeight="1">
      <c r="A25" s="91"/>
      <c r="B25" s="486" t="s">
        <v>220</v>
      </c>
      <c r="C25" s="487"/>
      <c r="D25" s="487"/>
      <c r="E25" s="487"/>
      <c r="F25" s="487"/>
      <c r="G25" s="487"/>
      <c r="H25" s="487"/>
      <c r="I25" s="487"/>
      <c r="J25" s="487"/>
      <c r="K25" s="487"/>
      <c r="L25" s="487"/>
      <c r="M25" s="487"/>
      <c r="N25" s="487"/>
      <c r="O25" s="487"/>
      <c r="P25" s="487"/>
      <c r="Q25" s="487"/>
      <c r="R25" s="488"/>
      <c r="S25" s="92"/>
    </row>
    <row r="26" spans="1:19" ht="12.75" customHeight="1">
      <c r="A26" s="10"/>
      <c r="B26" s="161" t="s">
        <v>52</v>
      </c>
      <c r="C26" s="21"/>
      <c r="D26" s="115"/>
      <c r="E26" s="47">
        <f>IF(D26&lt;&gt;"",D26,K8/SQRT(2))</f>
        <v>3.6259399717060882E-5</v>
      </c>
      <c r="F26" s="48" t="s">
        <v>13</v>
      </c>
      <c r="G26" s="21"/>
      <c r="H26" s="21" t="s">
        <v>53</v>
      </c>
      <c r="I26" s="21"/>
      <c r="J26" s="114"/>
      <c r="K26" s="25" t="str">
        <f>IF(J26&lt;&gt;"",J26,"")</f>
        <v/>
      </c>
      <c r="L26" s="48" t="s">
        <v>32</v>
      </c>
      <c r="M26" s="21"/>
      <c r="N26" s="21" t="s">
        <v>54</v>
      </c>
      <c r="O26" s="21"/>
      <c r="P26" s="21"/>
      <c r="Q26" s="47">
        <f>IF(E27&lt;&gt;"",E26*E27,"")</f>
        <v>4.3511279660473062E-3</v>
      </c>
      <c r="R26" s="49" t="s">
        <v>55</v>
      </c>
      <c r="S26" s="10"/>
    </row>
    <row r="27" spans="1:19" ht="12.75" customHeight="1">
      <c r="A27" s="10"/>
      <c r="B27" s="161" t="s">
        <v>62</v>
      </c>
      <c r="C27" s="21"/>
      <c r="D27" s="113">
        <v>120</v>
      </c>
      <c r="E27" s="50">
        <f>IF(D27&lt;&gt;"",D27,IF(E9&lt;&gt;"",E9*60/4,""))</f>
        <v>120</v>
      </c>
      <c r="F27" s="48" t="s">
        <v>211</v>
      </c>
      <c r="G27" s="21"/>
      <c r="H27" s="21" t="s">
        <v>57</v>
      </c>
      <c r="I27" s="21"/>
      <c r="J27" s="113"/>
      <c r="K27" s="50" t="str">
        <f>IF(J27&lt;&gt;"",J27,"")</f>
        <v/>
      </c>
      <c r="L27" s="48" t="s">
        <v>58</v>
      </c>
      <c r="M27" s="21"/>
      <c r="N27" s="21" t="s">
        <v>59</v>
      </c>
      <c r="O27" s="21"/>
      <c r="P27" s="113">
        <v>0.5</v>
      </c>
      <c r="Q27" s="50">
        <f>IF(P27="",IF(AND(K26&lt;&gt;"",K27&lt;&gt;"",Q26&lt;&gt;""),2*Q26/K26^2/(K27*2*PI()/60),""),P27)</f>
        <v>0.5</v>
      </c>
      <c r="R27" s="49" t="s">
        <v>60</v>
      </c>
      <c r="S27" s="10"/>
    </row>
    <row r="28" spans="1:19" ht="12.75" customHeight="1">
      <c r="A28" s="10"/>
      <c r="B28" s="161"/>
      <c r="C28" s="21"/>
      <c r="D28" s="21"/>
      <c r="E28" s="21"/>
      <c r="F28" s="21"/>
      <c r="G28" s="21"/>
      <c r="H28" s="21"/>
      <c r="I28" s="21"/>
      <c r="J28" s="21"/>
      <c r="K28" s="50"/>
      <c r="L28" s="48"/>
      <c r="M28" s="21"/>
      <c r="N28" s="134" t="s">
        <v>419</v>
      </c>
      <c r="O28" s="21"/>
      <c r="P28" s="113"/>
      <c r="Q28" s="50">
        <f>P28</f>
        <v>0</v>
      </c>
      <c r="R28" s="49" t="s">
        <v>100</v>
      </c>
      <c r="S28" s="10"/>
    </row>
    <row r="29" spans="1:19" ht="12.75" customHeight="1">
      <c r="A29" s="10"/>
      <c r="B29" s="489" t="s">
        <v>222</v>
      </c>
      <c r="C29" s="490"/>
      <c r="D29" s="490"/>
      <c r="E29" s="490"/>
      <c r="F29" s="490"/>
      <c r="G29" s="490"/>
      <c r="H29" s="490"/>
      <c r="I29" s="490"/>
      <c r="J29" s="490"/>
      <c r="K29" s="490"/>
      <c r="L29" s="490"/>
      <c r="M29" s="490"/>
      <c r="N29" s="490"/>
      <c r="O29" s="490"/>
      <c r="P29" s="490"/>
      <c r="Q29" s="490"/>
      <c r="R29" s="491"/>
      <c r="S29" s="10"/>
    </row>
    <row r="30" spans="1:19" ht="12.75" customHeight="1">
      <c r="A30" s="10"/>
      <c r="B30" s="124"/>
      <c r="C30" s="121"/>
      <c r="D30" s="121"/>
      <c r="E30" s="121"/>
      <c r="F30" s="120"/>
      <c r="G30" s="121"/>
      <c r="H30" s="121"/>
      <c r="I30" s="128" t="s">
        <v>417</v>
      </c>
      <c r="J30" s="121" t="s">
        <v>234</v>
      </c>
      <c r="K30" s="125">
        <f>Q28</f>
        <v>0</v>
      </c>
      <c r="L30" s="126" t="s">
        <v>100</v>
      </c>
      <c r="M30" s="121"/>
      <c r="N30" s="121"/>
      <c r="O30" s="128" t="s">
        <v>207</v>
      </c>
      <c r="P30" s="121" t="s">
        <v>231</v>
      </c>
      <c r="Q30" s="125">
        <f>Q27</f>
        <v>0.5</v>
      </c>
      <c r="R30" s="127" t="s">
        <v>60</v>
      </c>
      <c r="S30" s="10"/>
    </row>
    <row r="31" spans="1:19" ht="12.75" customHeight="1" thickBot="1">
      <c r="A31" s="10"/>
      <c r="B31" s="162"/>
      <c r="C31" s="163"/>
      <c r="D31" s="52"/>
      <c r="E31" s="53"/>
      <c r="F31" s="54"/>
      <c r="G31" s="163"/>
      <c r="H31" s="163"/>
      <c r="I31" s="163"/>
      <c r="J31" s="52"/>
      <c r="K31" s="53"/>
      <c r="L31" s="54"/>
      <c r="M31" s="163"/>
      <c r="N31" s="163"/>
      <c r="O31" s="163"/>
      <c r="P31" s="163"/>
      <c r="Q31" s="53"/>
      <c r="R31" s="55"/>
      <c r="S31" s="10"/>
    </row>
    <row r="32" spans="1:19" ht="12.75" customHeight="1" thickTop="1" thickBot="1">
      <c r="A32" s="10"/>
      <c r="B32" s="108"/>
      <c r="C32" s="108"/>
      <c r="D32" s="108"/>
      <c r="E32" s="108"/>
      <c r="F32" s="11"/>
      <c r="G32" s="108"/>
      <c r="H32" s="108"/>
      <c r="I32" s="108"/>
      <c r="J32" s="108"/>
      <c r="K32" s="108"/>
      <c r="L32" s="11"/>
      <c r="M32" s="108"/>
      <c r="N32" s="108"/>
      <c r="O32" s="108"/>
      <c r="P32" s="108"/>
      <c r="Q32" s="108"/>
      <c r="R32" s="11"/>
      <c r="S32" s="10"/>
    </row>
    <row r="33" spans="1:19" s="4" customFormat="1" ht="12.75" customHeight="1" thickTop="1">
      <c r="A33" s="91"/>
      <c r="B33" s="445" t="s">
        <v>63</v>
      </c>
      <c r="C33" s="478"/>
      <c r="D33" s="478"/>
      <c r="E33" s="478"/>
      <c r="F33" s="478"/>
      <c r="G33" s="478"/>
      <c r="H33" s="478"/>
      <c r="I33" s="478"/>
      <c r="J33" s="478"/>
      <c r="K33" s="478"/>
      <c r="L33" s="478"/>
      <c r="M33" s="478"/>
      <c r="N33" s="478"/>
      <c r="O33" s="478"/>
      <c r="P33" s="478"/>
      <c r="Q33" s="478"/>
      <c r="R33" s="479"/>
      <c r="S33" s="92"/>
    </row>
    <row r="34" spans="1:19" s="4" customFormat="1" ht="12.75" customHeight="1">
      <c r="A34" s="91"/>
      <c r="B34" s="69"/>
      <c r="C34" s="164"/>
      <c r="D34" s="164"/>
      <c r="E34" s="164"/>
      <c r="F34" s="164"/>
      <c r="G34" s="164"/>
      <c r="H34" s="164"/>
      <c r="I34" s="164"/>
      <c r="J34" s="164"/>
      <c r="K34" s="164"/>
      <c r="L34" s="164"/>
      <c r="M34" s="164"/>
      <c r="N34" s="164"/>
      <c r="O34" s="164"/>
      <c r="P34" s="164"/>
      <c r="Q34" s="164"/>
      <c r="R34" s="165"/>
      <c r="S34" s="92"/>
    </row>
    <row r="35" spans="1:19" s="4" customFormat="1" ht="12.75" customHeight="1">
      <c r="A35" s="91"/>
      <c r="B35" s="480" t="s">
        <v>221</v>
      </c>
      <c r="C35" s="481"/>
      <c r="D35" s="481"/>
      <c r="E35" s="481"/>
      <c r="F35" s="481"/>
      <c r="G35" s="481"/>
      <c r="H35" s="481"/>
      <c r="I35" s="481"/>
      <c r="J35" s="481"/>
      <c r="K35" s="481"/>
      <c r="L35" s="481"/>
      <c r="M35" s="481"/>
      <c r="N35" s="481"/>
      <c r="O35" s="481"/>
      <c r="P35" s="481"/>
      <c r="Q35" s="481"/>
      <c r="R35" s="482"/>
      <c r="S35" s="92"/>
    </row>
    <row r="36" spans="1:19" s="4" customFormat="1" ht="12.75" customHeight="1">
      <c r="A36" s="91"/>
      <c r="B36" s="122"/>
      <c r="C36" s="166" t="s">
        <v>6</v>
      </c>
      <c r="D36" s="166" t="s">
        <v>232</v>
      </c>
      <c r="E36" s="130"/>
      <c r="F36" s="129" t="s">
        <v>211</v>
      </c>
      <c r="G36" s="166"/>
      <c r="H36" s="166"/>
      <c r="I36" s="166"/>
      <c r="J36" s="166"/>
      <c r="K36" s="166"/>
      <c r="L36" s="166"/>
      <c r="M36" s="166"/>
      <c r="N36" s="166"/>
      <c r="O36" s="166"/>
      <c r="P36" s="166"/>
      <c r="Q36" s="166"/>
      <c r="R36" s="167"/>
      <c r="S36" s="92"/>
    </row>
    <row r="37" spans="1:19" s="4" customFormat="1" ht="12.75" customHeight="1">
      <c r="A37" s="91"/>
      <c r="B37" s="69"/>
      <c r="C37" s="164"/>
      <c r="D37" s="164"/>
      <c r="E37" s="164"/>
      <c r="F37" s="164"/>
      <c r="G37" s="164"/>
      <c r="H37" s="164"/>
      <c r="I37" s="164"/>
      <c r="J37" s="164"/>
      <c r="K37" s="164"/>
      <c r="L37" s="164"/>
      <c r="M37" s="164"/>
      <c r="N37" s="164"/>
      <c r="O37" s="164"/>
      <c r="P37" s="164"/>
      <c r="Q37" s="164"/>
      <c r="R37" s="165"/>
      <c r="S37" s="92"/>
    </row>
    <row r="38" spans="1:19" s="4" customFormat="1" ht="12.75" customHeight="1">
      <c r="A38" s="91"/>
      <c r="B38" s="483" t="s">
        <v>220</v>
      </c>
      <c r="C38" s="484"/>
      <c r="D38" s="484"/>
      <c r="E38" s="484"/>
      <c r="F38" s="484"/>
      <c r="G38" s="484"/>
      <c r="H38" s="484"/>
      <c r="I38" s="484"/>
      <c r="J38" s="484"/>
      <c r="K38" s="484"/>
      <c r="L38" s="484"/>
      <c r="M38" s="484"/>
      <c r="N38" s="484"/>
      <c r="O38" s="484"/>
      <c r="P38" s="484"/>
      <c r="Q38" s="484"/>
      <c r="R38" s="485"/>
      <c r="S38" s="92"/>
    </row>
    <row r="39" spans="1:19" ht="12.75" customHeight="1">
      <c r="A39" s="10"/>
      <c r="B39" s="93" t="s">
        <v>67</v>
      </c>
      <c r="C39" s="136"/>
      <c r="D39" s="136"/>
      <c r="E39" s="136"/>
      <c r="F39" s="71"/>
      <c r="G39" s="136"/>
      <c r="H39" s="68" t="s">
        <v>68</v>
      </c>
      <c r="I39" s="72"/>
      <c r="J39" s="136"/>
      <c r="K39" s="136"/>
      <c r="L39" s="71"/>
      <c r="M39" s="136"/>
      <c r="N39" s="68" t="s">
        <v>65</v>
      </c>
      <c r="O39" s="72"/>
      <c r="P39" s="136"/>
      <c r="Q39" s="136"/>
      <c r="R39" s="33"/>
      <c r="S39" s="10"/>
    </row>
    <row r="40" spans="1:19" ht="12.75" customHeight="1">
      <c r="A40" s="10"/>
      <c r="B40" s="93"/>
      <c r="C40" s="136"/>
      <c r="D40" s="136"/>
      <c r="E40" s="136"/>
      <c r="F40" s="71"/>
      <c r="G40" s="136"/>
      <c r="H40" s="68"/>
      <c r="I40" s="72"/>
      <c r="J40" s="136"/>
      <c r="K40" s="136"/>
      <c r="L40" s="71"/>
      <c r="M40" s="136"/>
      <c r="N40" s="68"/>
      <c r="O40" s="72"/>
      <c r="P40" s="136"/>
      <c r="Q40" s="136"/>
      <c r="R40" s="33"/>
      <c r="S40" s="10"/>
    </row>
    <row r="41" spans="1:19" ht="12.75" customHeight="1">
      <c r="A41" s="10"/>
      <c r="B41" s="73"/>
      <c r="C41" s="136" t="s">
        <v>70</v>
      </c>
      <c r="D41" s="136"/>
      <c r="E41" s="75">
        <f>IF(AND(Q8&lt;&gt;"",Q9&lt;&gt;""),Q9/Q8,"")</f>
        <v>0.75</v>
      </c>
      <c r="F41" s="71" t="s">
        <v>71</v>
      </c>
      <c r="G41" s="136"/>
      <c r="H41" s="136"/>
      <c r="I41" s="136" t="s">
        <v>72</v>
      </c>
      <c r="J41" s="114"/>
      <c r="K41" s="70">
        <f>IF(J41&lt;&gt;"",J41,IF(Q16&lt;&gt;"",Q16,""))</f>
        <v>4.0791975980321205</v>
      </c>
      <c r="L41" s="71" t="s">
        <v>55</v>
      </c>
      <c r="M41" s="136"/>
      <c r="N41" s="136"/>
      <c r="O41" s="136" t="s">
        <v>66</v>
      </c>
      <c r="P41" s="117"/>
      <c r="Q41" s="68" t="str">
        <f>IF(P41&lt;&gt;"",P41,"")</f>
        <v/>
      </c>
      <c r="R41" s="33"/>
      <c r="S41" s="10"/>
    </row>
    <row r="42" spans="1:19" ht="12.75" customHeight="1">
      <c r="A42" s="10"/>
      <c r="B42" s="73"/>
      <c r="C42" s="136" t="s">
        <v>73</v>
      </c>
      <c r="D42" s="113"/>
      <c r="E42" s="74" t="str">
        <f>IF(D42&lt;&gt;"",D42,"")</f>
        <v/>
      </c>
      <c r="F42" s="71" t="s">
        <v>211</v>
      </c>
      <c r="G42" s="136"/>
      <c r="H42" s="136"/>
      <c r="I42" s="136" t="s">
        <v>70</v>
      </c>
      <c r="J42" s="136"/>
      <c r="K42" s="75">
        <f>IF(E41&lt;&gt;"",E41,"")</f>
        <v>0.75</v>
      </c>
      <c r="L42" s="71" t="s">
        <v>71</v>
      </c>
      <c r="M42" s="136"/>
      <c r="N42" s="136"/>
      <c r="O42" s="136" t="s">
        <v>69</v>
      </c>
      <c r="P42" s="113"/>
      <c r="Q42" s="74" t="str">
        <f>IF(P42&lt;&gt;"",P42,IF(Q41="","",IF(E42&lt;&gt;"",E42*2*Q41,IF(K44&lt;&gt;"",K44*Q41,""))))</f>
        <v/>
      </c>
      <c r="R42" s="33" t="s">
        <v>211</v>
      </c>
      <c r="S42" s="10"/>
    </row>
    <row r="43" spans="1:19" ht="12.75" customHeight="1">
      <c r="A43" s="10"/>
      <c r="B43" s="73"/>
      <c r="C43" s="136" t="s">
        <v>75</v>
      </c>
      <c r="D43" s="136"/>
      <c r="E43" s="75" t="str">
        <f>IF(AND(E41&lt;&gt;"",E42&lt;&gt;""),E41/E42,"")</f>
        <v/>
      </c>
      <c r="F43" s="71" t="s">
        <v>76</v>
      </c>
      <c r="G43" s="136"/>
      <c r="H43" s="136"/>
      <c r="I43" s="136" t="s">
        <v>77</v>
      </c>
      <c r="J43" s="116"/>
      <c r="K43" s="76">
        <f>IF(J43&lt;&gt;"",J43,0.1)</f>
        <v>0.1</v>
      </c>
      <c r="L43" s="71"/>
      <c r="M43" s="136"/>
      <c r="N43" s="136"/>
      <c r="O43" s="136"/>
      <c r="P43" s="136"/>
      <c r="Q43" s="136"/>
      <c r="R43" s="33"/>
      <c r="S43" s="10"/>
    </row>
    <row r="44" spans="1:19" ht="12.75" customHeight="1">
      <c r="A44" s="94"/>
      <c r="B44" s="72"/>
      <c r="C44" s="136" t="s">
        <v>79</v>
      </c>
      <c r="D44" s="136"/>
      <c r="E44" s="75" t="str">
        <f>IF(AND(E10&lt;&gt;"",Q51&lt;&gt;"",E43&lt;&gt;""),E10*E43*PI()/180/Q51/2,"")</f>
        <v/>
      </c>
      <c r="F44" s="71" t="s">
        <v>80</v>
      </c>
      <c r="G44" s="136"/>
      <c r="H44" s="136"/>
      <c r="I44" s="136" t="s">
        <v>81</v>
      </c>
      <c r="J44" s="136"/>
      <c r="K44" s="74">
        <f>IF(Q8&lt;&gt;"",Q8*K43,"")</f>
        <v>12</v>
      </c>
      <c r="L44" s="71" t="s">
        <v>211</v>
      </c>
      <c r="M44" s="136"/>
      <c r="N44" s="136"/>
      <c r="O44" s="136" t="s">
        <v>74</v>
      </c>
      <c r="P44" s="117"/>
      <c r="Q44" s="68" t="str">
        <f>IF(P44&lt;&gt;"",P44,"")</f>
        <v/>
      </c>
      <c r="R44" s="33"/>
      <c r="S44" s="10"/>
    </row>
    <row r="45" spans="1:19" ht="12.75" customHeight="1">
      <c r="A45" s="94"/>
      <c r="B45" s="136"/>
      <c r="C45" s="136"/>
      <c r="D45" s="136"/>
      <c r="E45" s="136"/>
      <c r="F45" s="68"/>
      <c r="G45" s="136"/>
      <c r="H45" s="136"/>
      <c r="I45" s="136" t="s">
        <v>79</v>
      </c>
      <c r="J45" s="136"/>
      <c r="K45" s="75" t="str">
        <f>IF(AND(Q51&lt;&gt;"",K41&lt;&gt;"",K42&lt;&gt;""),K41*K42*PI()/180/Q51/K43/2,"")</f>
        <v/>
      </c>
      <c r="L45" s="71" t="s">
        <v>80</v>
      </c>
      <c r="M45" s="136"/>
      <c r="N45" s="136"/>
      <c r="O45" s="136" t="s">
        <v>78</v>
      </c>
      <c r="P45" s="136"/>
      <c r="Q45" s="74" t="str">
        <f>IF(AND(E49&lt;&gt;"",Q44&lt;&gt;""),E49*Q44,"")</f>
        <v/>
      </c>
      <c r="R45" s="33" t="s">
        <v>211</v>
      </c>
      <c r="S45" s="10"/>
    </row>
    <row r="46" spans="1:19" ht="12.75" customHeight="1">
      <c r="A46" s="10"/>
      <c r="B46" s="93" t="s">
        <v>83</v>
      </c>
      <c r="C46" s="68"/>
      <c r="D46" s="136"/>
      <c r="E46" s="136"/>
      <c r="F46" s="68"/>
      <c r="G46" s="136"/>
      <c r="H46" s="136"/>
      <c r="I46" s="136"/>
      <c r="J46" s="136"/>
      <c r="K46" s="136"/>
      <c r="L46" s="136"/>
      <c r="M46" s="136"/>
      <c r="N46" s="136"/>
      <c r="O46" s="136" t="s">
        <v>455</v>
      </c>
      <c r="P46" s="114"/>
      <c r="Q46" s="70">
        <f>P46</f>
        <v>0</v>
      </c>
      <c r="R46" s="33" t="s">
        <v>21</v>
      </c>
      <c r="S46" s="10"/>
    </row>
    <row r="47" spans="1:19" ht="12.75" customHeight="1">
      <c r="A47" s="10"/>
      <c r="B47" s="168"/>
      <c r="C47" s="136"/>
      <c r="D47" s="136"/>
      <c r="E47" s="136"/>
      <c r="F47" s="68"/>
      <c r="G47" s="136"/>
      <c r="H47" s="136"/>
      <c r="I47" s="136"/>
      <c r="J47" s="136"/>
      <c r="K47" s="136"/>
      <c r="L47" s="136"/>
      <c r="M47" s="136"/>
      <c r="N47" s="136"/>
      <c r="O47" s="136" t="s">
        <v>82</v>
      </c>
      <c r="P47" s="136"/>
      <c r="Q47" s="74" t="str">
        <f>IF(Q42="",IF(Q45="","",Q45),IF(Q45="",Q42,Q42+Q45))</f>
        <v/>
      </c>
      <c r="R47" s="33" t="s">
        <v>211</v>
      </c>
      <c r="S47" s="10"/>
    </row>
    <row r="48" spans="1:19" ht="12.75" customHeight="1">
      <c r="A48" s="10"/>
      <c r="B48" s="168"/>
      <c r="C48" s="136" t="s">
        <v>84</v>
      </c>
      <c r="D48" s="114"/>
      <c r="E48" s="70" t="str">
        <f>IF(D48&lt;&gt;"",D48,"")</f>
        <v/>
      </c>
      <c r="F48" s="71" t="s">
        <v>55</v>
      </c>
      <c r="G48" s="136"/>
      <c r="H48" s="136"/>
      <c r="I48" s="136"/>
      <c r="J48" s="136"/>
      <c r="K48" s="75"/>
      <c r="L48" s="71"/>
      <c r="M48" s="136"/>
      <c r="N48" s="136"/>
      <c r="O48" s="136" t="s">
        <v>420</v>
      </c>
      <c r="P48" s="114"/>
      <c r="Q48" s="70">
        <f>P48</f>
        <v>0</v>
      </c>
      <c r="R48" s="33" t="s">
        <v>100</v>
      </c>
      <c r="S48" s="10"/>
    </row>
    <row r="49" spans="1:19" ht="12.75" customHeight="1">
      <c r="A49" s="10"/>
      <c r="B49" s="168"/>
      <c r="C49" s="136" t="s">
        <v>86</v>
      </c>
      <c r="D49" s="113"/>
      <c r="E49" s="74" t="str">
        <f>IF(D49&lt;&gt;"",D49,"")</f>
        <v/>
      </c>
      <c r="F49" s="71" t="s">
        <v>211</v>
      </c>
      <c r="G49" s="136"/>
      <c r="H49" s="136"/>
      <c r="I49" s="136"/>
      <c r="J49" s="136"/>
      <c r="K49" s="136"/>
      <c r="L49" s="136"/>
      <c r="M49" s="136"/>
      <c r="N49" s="136"/>
      <c r="O49" s="136" t="s">
        <v>416</v>
      </c>
      <c r="P49" s="113"/>
      <c r="Q49" s="74">
        <f>P49</f>
        <v>0</v>
      </c>
      <c r="R49" s="33" t="s">
        <v>60</v>
      </c>
      <c r="S49" s="10"/>
    </row>
    <row r="50" spans="1:19" ht="12.75" customHeight="1">
      <c r="A50" s="94"/>
      <c r="B50" s="136"/>
      <c r="C50" s="136" t="s">
        <v>79</v>
      </c>
      <c r="D50" s="136"/>
      <c r="E50" s="75" t="str">
        <f>IF(AND(Q51&lt;&gt;"",E48&lt;&gt;"",E49&lt;&gt;""),E48/Q51/E49/2,"")</f>
        <v/>
      </c>
      <c r="F50" s="71" t="s">
        <v>80</v>
      </c>
      <c r="G50" s="136"/>
      <c r="H50" s="136"/>
      <c r="I50" s="136"/>
      <c r="J50" s="136"/>
      <c r="K50" s="136"/>
      <c r="L50" s="136"/>
      <c r="M50" s="136"/>
      <c r="N50" s="136"/>
      <c r="O50" s="136" t="s">
        <v>85</v>
      </c>
      <c r="P50" s="136"/>
      <c r="Q50" s="75">
        <f>MAX(E44,K45,E50)</f>
        <v>0</v>
      </c>
      <c r="R50" s="33" t="s">
        <v>80</v>
      </c>
      <c r="S50" s="10"/>
    </row>
    <row r="51" spans="1:19" ht="12.75" customHeight="1">
      <c r="A51" s="94"/>
      <c r="B51" s="136"/>
      <c r="C51" s="136"/>
      <c r="D51" s="136"/>
      <c r="E51" s="136"/>
      <c r="F51" s="136"/>
      <c r="G51" s="136"/>
      <c r="H51" s="136"/>
      <c r="I51" s="136"/>
      <c r="J51" s="136"/>
      <c r="K51" s="136"/>
      <c r="L51" s="136"/>
      <c r="M51" s="136"/>
      <c r="N51" s="136"/>
      <c r="O51" s="136" t="s">
        <v>64</v>
      </c>
      <c r="P51" s="114"/>
      <c r="Q51" s="70" t="str">
        <f>IF(P51&lt;&gt;"",P51,"")</f>
        <v/>
      </c>
      <c r="R51" s="33" t="s">
        <v>32</v>
      </c>
      <c r="S51" s="10"/>
    </row>
    <row r="52" spans="1:19" ht="12.75" customHeight="1">
      <c r="A52" s="10"/>
      <c r="B52" s="168"/>
      <c r="C52" s="136"/>
      <c r="D52" s="136"/>
      <c r="E52" s="75"/>
      <c r="F52" s="71"/>
      <c r="G52" s="136"/>
      <c r="H52" s="136"/>
      <c r="I52" s="136"/>
      <c r="J52" s="136"/>
      <c r="K52" s="136"/>
      <c r="L52" s="136"/>
      <c r="M52" s="136"/>
      <c r="N52" s="136"/>
      <c r="O52" s="136" t="s">
        <v>87</v>
      </c>
      <c r="P52" s="113"/>
      <c r="Q52" s="77">
        <f>IF(P52&lt;&gt;"",P52,E36)</f>
        <v>0</v>
      </c>
      <c r="R52" s="33" t="s">
        <v>41</v>
      </c>
      <c r="S52" s="10"/>
    </row>
    <row r="53" spans="1:19" ht="12.75" customHeight="1">
      <c r="A53" s="10"/>
      <c r="B53" s="168"/>
      <c r="C53" s="136"/>
      <c r="D53" s="136"/>
      <c r="E53" s="75"/>
      <c r="F53" s="71"/>
      <c r="G53" s="136"/>
      <c r="H53" s="136"/>
      <c r="I53" s="136"/>
      <c r="J53" s="136"/>
      <c r="K53" s="136"/>
      <c r="L53" s="136"/>
      <c r="M53" s="136"/>
      <c r="N53" s="136"/>
      <c r="O53" s="136" t="s">
        <v>88</v>
      </c>
      <c r="P53" s="136"/>
      <c r="Q53" s="74" t="str">
        <f>IF(AND(Q47&lt;&gt;"",Q52&lt;&gt;""),2*Q50*Q47/Q52/(Earth_Mu/Earth_Radius^2*1000),"")</f>
        <v/>
      </c>
      <c r="R53" s="33" t="s">
        <v>60</v>
      </c>
      <c r="S53" s="10"/>
    </row>
    <row r="54" spans="1:19" ht="12.75" customHeight="1">
      <c r="A54" s="10"/>
      <c r="B54" s="489" t="s">
        <v>222</v>
      </c>
      <c r="C54" s="490"/>
      <c r="D54" s="490"/>
      <c r="E54" s="490"/>
      <c r="F54" s="490"/>
      <c r="G54" s="490"/>
      <c r="H54" s="490"/>
      <c r="I54" s="490"/>
      <c r="J54" s="490"/>
      <c r="K54" s="490"/>
      <c r="L54" s="490"/>
      <c r="M54" s="490"/>
      <c r="N54" s="490"/>
      <c r="O54" s="490"/>
      <c r="P54" s="490"/>
      <c r="Q54" s="490"/>
      <c r="R54" s="491"/>
      <c r="S54" s="10"/>
    </row>
    <row r="55" spans="1:19" ht="12.75" customHeight="1">
      <c r="A55" s="10"/>
      <c r="B55" s="124"/>
      <c r="C55" s="121" t="s">
        <v>420</v>
      </c>
      <c r="D55" s="121" t="s">
        <v>234</v>
      </c>
      <c r="E55" s="125">
        <f>Q48</f>
        <v>0</v>
      </c>
      <c r="F55" s="126" t="s">
        <v>100</v>
      </c>
      <c r="G55" s="121"/>
      <c r="H55" s="121"/>
      <c r="I55" s="121" t="s">
        <v>416</v>
      </c>
      <c r="J55" s="121" t="s">
        <v>231</v>
      </c>
      <c r="K55" s="125">
        <f>Q49</f>
        <v>0</v>
      </c>
      <c r="L55" s="126" t="s">
        <v>60</v>
      </c>
      <c r="M55" s="121"/>
      <c r="N55" s="121"/>
      <c r="O55" s="121" t="s">
        <v>208</v>
      </c>
      <c r="P55" s="121" t="s">
        <v>231</v>
      </c>
      <c r="Q55" s="125" t="str">
        <f>Q53</f>
        <v/>
      </c>
      <c r="R55" s="127" t="s">
        <v>60</v>
      </c>
      <c r="S55" s="10"/>
    </row>
    <row r="56" spans="1:19" ht="12.75" customHeight="1" thickBot="1">
      <c r="A56" s="10"/>
      <c r="B56" s="169"/>
      <c r="C56" s="139"/>
      <c r="D56" s="139"/>
      <c r="E56" s="78"/>
      <c r="F56" s="79"/>
      <c r="G56" s="139"/>
      <c r="H56" s="139"/>
      <c r="I56" s="139"/>
      <c r="J56" s="139"/>
      <c r="K56" s="139"/>
      <c r="L56" s="139"/>
      <c r="M56" s="139"/>
      <c r="N56" s="139"/>
      <c r="O56" s="139"/>
      <c r="P56" s="139"/>
      <c r="Q56" s="80"/>
      <c r="R56" s="81"/>
      <c r="S56" s="10"/>
    </row>
    <row r="57" spans="1:19" ht="12.75" customHeight="1" thickTop="1" thickBot="1">
      <c r="A57" s="10"/>
      <c r="B57" s="108"/>
      <c r="C57" s="108"/>
      <c r="D57" s="108"/>
      <c r="E57" s="108"/>
      <c r="F57" s="82"/>
      <c r="G57" s="108"/>
      <c r="H57" s="108"/>
      <c r="I57" s="108"/>
      <c r="J57" s="108"/>
      <c r="K57" s="108"/>
      <c r="L57" s="108"/>
      <c r="M57" s="108"/>
      <c r="N57" s="108"/>
      <c r="O57" s="108"/>
      <c r="P57" s="108"/>
      <c r="Q57" s="108"/>
      <c r="R57" s="11"/>
      <c r="S57" s="10"/>
    </row>
    <row r="58" spans="1:19" s="4" customFormat="1" ht="12.75" customHeight="1" thickTop="1">
      <c r="A58" s="91"/>
      <c r="B58" s="434" t="s">
        <v>89</v>
      </c>
      <c r="C58" s="476"/>
      <c r="D58" s="476"/>
      <c r="E58" s="476"/>
      <c r="F58" s="476"/>
      <c r="G58" s="476"/>
      <c r="H58" s="476"/>
      <c r="I58" s="476"/>
      <c r="J58" s="476"/>
      <c r="K58" s="476"/>
      <c r="L58" s="476"/>
      <c r="M58" s="476"/>
      <c r="N58" s="476"/>
      <c r="O58" s="476"/>
      <c r="P58" s="476"/>
      <c r="Q58" s="476"/>
      <c r="R58" s="477"/>
      <c r="S58" s="92"/>
    </row>
    <row r="59" spans="1:19" s="4" customFormat="1" ht="12.75" customHeight="1">
      <c r="A59" s="91"/>
      <c r="B59" s="56"/>
      <c r="C59" s="170"/>
      <c r="D59" s="170"/>
      <c r="E59" s="170"/>
      <c r="F59" s="57"/>
      <c r="G59" s="170"/>
      <c r="H59" s="170"/>
      <c r="I59" s="170"/>
      <c r="J59" s="170"/>
      <c r="K59" s="170"/>
      <c r="L59" s="57"/>
      <c r="M59" s="170"/>
      <c r="N59" s="170"/>
      <c r="O59" s="170"/>
      <c r="P59" s="170"/>
      <c r="Q59" s="170"/>
      <c r="R59" s="58"/>
      <c r="S59" s="92"/>
    </row>
    <row r="60" spans="1:19" s="4" customFormat="1" ht="12.75" customHeight="1">
      <c r="A60" s="91"/>
      <c r="B60" s="501" t="s">
        <v>220</v>
      </c>
      <c r="C60" s="502"/>
      <c r="D60" s="502"/>
      <c r="E60" s="502"/>
      <c r="F60" s="502"/>
      <c r="G60" s="502"/>
      <c r="H60" s="502"/>
      <c r="I60" s="502"/>
      <c r="J60" s="502"/>
      <c r="K60" s="502"/>
      <c r="L60" s="502"/>
      <c r="M60" s="502"/>
      <c r="N60" s="502"/>
      <c r="O60" s="502"/>
      <c r="P60" s="502"/>
      <c r="Q60" s="502"/>
      <c r="R60" s="503"/>
      <c r="S60" s="92"/>
    </row>
    <row r="61" spans="1:19" ht="12.75" customHeight="1">
      <c r="A61" s="10"/>
      <c r="B61" s="147" t="s">
        <v>52</v>
      </c>
      <c r="C61" s="146"/>
      <c r="D61" s="115"/>
      <c r="E61" s="59">
        <f>IF(D61&lt;&gt;"",D61,K8)</f>
        <v>5.1278534843374673E-5</v>
      </c>
      <c r="F61" s="60" t="s">
        <v>13</v>
      </c>
      <c r="G61" s="146"/>
      <c r="H61" s="146" t="s">
        <v>90</v>
      </c>
      <c r="I61" s="146"/>
      <c r="J61" s="146"/>
      <c r="K61" s="61">
        <f>IF(AND(E8&lt;&gt;"",E61&lt;&gt;""),E61/(2*Earth_Mag_Moment/(1000*(Earth_Radius+E8))^3),"")</f>
        <v>1.0030522861749931</v>
      </c>
      <c r="L61" s="60" t="s">
        <v>37</v>
      </c>
      <c r="M61" s="146"/>
      <c r="N61" s="146"/>
      <c r="O61" s="146" t="s">
        <v>91</v>
      </c>
      <c r="P61" s="117"/>
      <c r="Q61" s="62" t="str">
        <f>IF(P61&lt;&gt;"",P61,IF(AND(P62&lt;&gt;"",P63&lt;&gt;""),K61/P62/P63,""))</f>
        <v/>
      </c>
      <c r="R61" s="29"/>
      <c r="S61" s="10"/>
    </row>
    <row r="62" spans="1:19" ht="12.75" customHeight="1">
      <c r="A62" s="10"/>
      <c r="B62" s="147" t="s">
        <v>92</v>
      </c>
      <c r="C62" s="146"/>
      <c r="D62" s="113"/>
      <c r="E62" s="62">
        <f>IF(D62&lt;&gt;"",D62,0.5)</f>
        <v>0.5</v>
      </c>
      <c r="F62" s="60" t="s">
        <v>60</v>
      </c>
      <c r="G62" s="146"/>
      <c r="H62" s="146" t="s">
        <v>93</v>
      </c>
      <c r="I62" s="146"/>
      <c r="J62" s="116"/>
      <c r="K62" s="63">
        <f>IF(J62&lt;&gt;"",J62,1)</f>
        <v>1</v>
      </c>
      <c r="L62" s="60" t="s">
        <v>223</v>
      </c>
      <c r="M62" s="146"/>
      <c r="N62" s="146"/>
      <c r="O62" s="146" t="s">
        <v>94</v>
      </c>
      <c r="P62" s="109"/>
      <c r="Q62" s="61" t="str">
        <f>IF(AND(Q61&lt;&gt;"",Q63&lt;&gt;0),K61/Q61/Q63,IF(P62&lt;&gt;"",P62,""))</f>
        <v/>
      </c>
      <c r="R62" s="29" t="s">
        <v>30</v>
      </c>
      <c r="S62" s="10"/>
    </row>
    <row r="63" spans="1:19" ht="12.75" customHeight="1">
      <c r="A63" s="10"/>
      <c r="B63" s="147"/>
      <c r="C63" s="146"/>
      <c r="D63" s="146"/>
      <c r="E63" s="146"/>
      <c r="F63" s="60"/>
      <c r="G63" s="146"/>
      <c r="H63" s="146"/>
      <c r="I63" s="146"/>
      <c r="J63" s="146"/>
      <c r="K63" s="146"/>
      <c r="L63" s="60"/>
      <c r="M63" s="146"/>
      <c r="N63" s="146"/>
      <c r="O63" s="146" t="s">
        <v>95</v>
      </c>
      <c r="P63" s="113"/>
      <c r="Q63" s="62">
        <f>IF(P63&lt;&gt;"",P63,IF(AND(P61&lt;&gt;"",P62&lt;&gt;""),K61/P61/P62,0))</f>
        <v>0</v>
      </c>
      <c r="R63" s="29" t="s">
        <v>96</v>
      </c>
      <c r="S63" s="10"/>
    </row>
    <row r="64" spans="1:19" ht="12.75" customHeight="1">
      <c r="A64" s="10"/>
      <c r="B64" s="147"/>
      <c r="C64" s="146"/>
      <c r="D64" s="146"/>
      <c r="E64" s="146"/>
      <c r="F64" s="60"/>
      <c r="G64" s="146"/>
      <c r="H64" s="146"/>
      <c r="I64" s="146"/>
      <c r="J64" s="146"/>
      <c r="K64" s="146"/>
      <c r="L64" s="60"/>
      <c r="M64" s="146"/>
      <c r="N64" s="146"/>
      <c r="O64" s="146" t="s">
        <v>424</v>
      </c>
      <c r="P64" s="113">
        <v>5</v>
      </c>
      <c r="Q64" s="62">
        <f>P64</f>
        <v>5</v>
      </c>
      <c r="R64" s="29" t="s">
        <v>436</v>
      </c>
      <c r="S64" s="10"/>
    </row>
    <row r="65" spans="1:19" ht="12.75" customHeight="1">
      <c r="A65" s="10"/>
      <c r="B65" s="489" t="s">
        <v>222</v>
      </c>
      <c r="C65" s="490"/>
      <c r="D65" s="490"/>
      <c r="E65" s="490"/>
      <c r="F65" s="490"/>
      <c r="G65" s="490"/>
      <c r="H65" s="490"/>
      <c r="I65" s="490"/>
      <c r="J65" s="490"/>
      <c r="K65" s="490"/>
      <c r="L65" s="490"/>
      <c r="M65" s="490"/>
      <c r="N65" s="490"/>
      <c r="O65" s="490"/>
      <c r="P65" s="490"/>
      <c r="Q65" s="490"/>
      <c r="R65" s="491"/>
      <c r="S65" s="10"/>
    </row>
    <row r="66" spans="1:19" ht="12.75" customHeight="1">
      <c r="A66" s="10"/>
      <c r="B66" s="124"/>
      <c r="C66" s="121" t="s">
        <v>206</v>
      </c>
      <c r="D66" s="121" t="s">
        <v>231</v>
      </c>
      <c r="E66" s="125">
        <f>E62</f>
        <v>0.5</v>
      </c>
      <c r="F66" s="126" t="s">
        <v>60</v>
      </c>
      <c r="G66" s="121"/>
      <c r="H66" s="121"/>
      <c r="I66" s="121" t="s">
        <v>228</v>
      </c>
      <c r="J66" s="121" t="s">
        <v>233</v>
      </c>
      <c r="K66" s="125">
        <f>K62</f>
        <v>1</v>
      </c>
      <c r="L66" s="126" t="s">
        <v>223</v>
      </c>
      <c r="M66" s="121"/>
      <c r="N66" s="121"/>
      <c r="O66" s="121" t="s">
        <v>227</v>
      </c>
      <c r="P66" s="121" t="s">
        <v>237</v>
      </c>
      <c r="Q66" s="125">
        <f>Q63</f>
        <v>0</v>
      </c>
      <c r="R66" s="127" t="s">
        <v>96</v>
      </c>
      <c r="S66" s="10"/>
    </row>
    <row r="67" spans="1:19" ht="12.75" customHeight="1" thickBot="1">
      <c r="A67" s="10"/>
      <c r="B67" s="148"/>
      <c r="C67" s="149"/>
      <c r="D67" s="149"/>
      <c r="E67" s="149"/>
      <c r="F67" s="64"/>
      <c r="G67" s="149"/>
      <c r="H67" s="149"/>
      <c r="I67" s="149"/>
      <c r="J67" s="149"/>
      <c r="K67" s="149"/>
      <c r="L67" s="64"/>
      <c r="M67" s="149"/>
      <c r="N67" s="149"/>
      <c r="O67" s="149"/>
      <c r="P67" s="65"/>
      <c r="Q67" s="66"/>
      <c r="R67" s="67"/>
      <c r="S67" s="10"/>
    </row>
    <row r="68" spans="1:19" ht="12.75" customHeight="1" thickTop="1" thickBot="1">
      <c r="A68" s="10"/>
      <c r="B68" s="108"/>
      <c r="C68" s="108"/>
      <c r="D68" s="108"/>
      <c r="E68" s="108"/>
      <c r="F68" s="11"/>
      <c r="G68" s="108"/>
      <c r="H68" s="108"/>
      <c r="I68" s="108"/>
      <c r="J68" s="108"/>
      <c r="K68" s="108"/>
      <c r="L68" s="11"/>
      <c r="M68" s="108"/>
      <c r="N68" s="108"/>
      <c r="O68" s="108"/>
      <c r="P68" s="108"/>
      <c r="Q68" s="108"/>
      <c r="R68" s="11"/>
      <c r="S68" s="10"/>
    </row>
    <row r="69" spans="1:19" ht="12.75" customHeight="1" thickTop="1">
      <c r="A69" s="10"/>
      <c r="B69" s="504" t="s">
        <v>411</v>
      </c>
      <c r="C69" s="505"/>
      <c r="D69" s="505"/>
      <c r="E69" s="505"/>
      <c r="F69" s="505"/>
      <c r="G69" s="505"/>
      <c r="H69" s="505"/>
      <c r="I69" s="505"/>
      <c r="J69" s="505"/>
      <c r="K69" s="505"/>
      <c r="L69" s="505"/>
      <c r="M69" s="505"/>
      <c r="N69" s="505"/>
      <c r="O69" s="505"/>
      <c r="P69" s="505"/>
      <c r="Q69" s="505"/>
      <c r="R69" s="506"/>
      <c r="S69" s="10"/>
    </row>
    <row r="70" spans="1:19" ht="12.75" customHeight="1">
      <c r="A70" s="10"/>
      <c r="B70" s="172" t="s">
        <v>414</v>
      </c>
      <c r="C70" s="171"/>
      <c r="D70" s="118"/>
      <c r="E70" s="343">
        <f>D70</f>
        <v>0</v>
      </c>
      <c r="F70" s="341" t="s">
        <v>223</v>
      </c>
      <c r="G70" s="171"/>
      <c r="H70" s="171"/>
      <c r="I70" s="171" t="s">
        <v>415</v>
      </c>
      <c r="J70" s="119"/>
      <c r="K70" s="342">
        <f>J70</f>
        <v>0</v>
      </c>
      <c r="L70" s="341" t="s">
        <v>223</v>
      </c>
      <c r="M70" s="171"/>
      <c r="N70" s="171"/>
      <c r="O70" s="171"/>
      <c r="P70" s="171"/>
      <c r="Q70" s="171"/>
      <c r="R70" s="334"/>
      <c r="S70" s="10"/>
    </row>
    <row r="71" spans="1:19" ht="12.75" customHeight="1">
      <c r="A71" s="91"/>
      <c r="B71" s="172" t="s">
        <v>412</v>
      </c>
      <c r="C71" s="171"/>
      <c r="D71" s="118"/>
      <c r="E71" s="343">
        <f>D71</f>
        <v>0</v>
      </c>
      <c r="F71" s="341" t="s">
        <v>223</v>
      </c>
      <c r="G71" s="171"/>
      <c r="H71" s="171"/>
      <c r="I71" s="171" t="s">
        <v>413</v>
      </c>
      <c r="J71" s="119"/>
      <c r="K71" s="342">
        <f>J71</f>
        <v>0</v>
      </c>
      <c r="L71" s="341" t="s">
        <v>223</v>
      </c>
      <c r="M71" s="171"/>
      <c r="N71" s="171"/>
      <c r="O71" s="171"/>
      <c r="P71" s="171"/>
      <c r="Q71" s="171"/>
      <c r="R71" s="334"/>
      <c r="S71" s="10"/>
    </row>
    <row r="72" spans="1:19" ht="12.75" customHeight="1">
      <c r="A72" s="91"/>
      <c r="B72" s="489" t="s">
        <v>222</v>
      </c>
      <c r="C72" s="490"/>
      <c r="D72" s="490"/>
      <c r="E72" s="490"/>
      <c r="F72" s="490"/>
      <c r="G72" s="490"/>
      <c r="H72" s="490"/>
      <c r="I72" s="490"/>
      <c r="J72" s="490"/>
      <c r="K72" s="490"/>
      <c r="L72" s="490"/>
      <c r="M72" s="490"/>
      <c r="N72" s="490"/>
      <c r="O72" s="490"/>
      <c r="P72" s="490"/>
      <c r="Q72" s="490"/>
      <c r="R72" s="491"/>
      <c r="S72" s="10"/>
    </row>
    <row r="73" spans="1:19" ht="12.75" customHeight="1" thickBot="1">
      <c r="A73" s="10"/>
      <c r="B73" s="335"/>
      <c r="C73" s="336"/>
      <c r="D73" s="336"/>
      <c r="E73" s="336"/>
      <c r="F73" s="337"/>
      <c r="G73" s="336"/>
      <c r="H73" s="336"/>
      <c r="I73" s="336" t="s">
        <v>421</v>
      </c>
      <c r="J73" s="336" t="s">
        <v>231</v>
      </c>
      <c r="K73" s="337">
        <f>E70*Momentum_Wheel_Mass+Reaction_Wheel_Mass*E71+K71*E66+K70*K55</f>
        <v>0</v>
      </c>
      <c r="L73" s="338" t="s">
        <v>60</v>
      </c>
      <c r="M73" s="336"/>
      <c r="N73" s="336"/>
      <c r="O73" s="336" t="s">
        <v>422</v>
      </c>
      <c r="P73" s="336" t="s">
        <v>234</v>
      </c>
      <c r="Q73" s="339">
        <f>E70*K20+K30*E71+K70*E55+K71*Current_Magnetic_Torquer*Q64</f>
        <v>0</v>
      </c>
      <c r="R73" s="340" t="s">
        <v>100</v>
      </c>
      <c r="S73" s="10"/>
    </row>
    <row r="74" spans="1:19" ht="12.75" customHeight="1" thickTop="1" thickBot="1">
      <c r="A74" s="10"/>
      <c r="B74" s="10"/>
      <c r="C74" s="10"/>
      <c r="D74" s="10"/>
      <c r="E74" s="10"/>
      <c r="F74" s="10"/>
      <c r="G74" s="10"/>
      <c r="H74" s="10"/>
      <c r="I74" s="10"/>
      <c r="J74" s="10"/>
      <c r="K74" s="10"/>
      <c r="L74" s="10"/>
      <c r="M74" s="10"/>
      <c r="N74" s="10"/>
      <c r="O74" s="10"/>
      <c r="P74" s="10"/>
      <c r="Q74" s="10"/>
      <c r="R74" s="10"/>
      <c r="S74" s="10"/>
    </row>
    <row r="75" spans="1:19" ht="12.75" customHeight="1" thickTop="1">
      <c r="A75" s="10"/>
      <c r="B75" s="504" t="s">
        <v>97</v>
      </c>
      <c r="C75" s="505"/>
      <c r="D75" s="505"/>
      <c r="E75" s="505"/>
      <c r="F75" s="505"/>
      <c r="G75" s="505"/>
      <c r="H75" s="505"/>
      <c r="I75" s="505"/>
      <c r="J75" s="505"/>
      <c r="K75" s="505"/>
      <c r="L75" s="505"/>
      <c r="M75" s="505"/>
      <c r="N75" s="505"/>
      <c r="O75" s="505"/>
      <c r="P75" s="505"/>
      <c r="Q75" s="505"/>
      <c r="R75" s="506"/>
      <c r="S75" s="10"/>
    </row>
    <row r="76" spans="1:19" ht="12.75" customHeight="1">
      <c r="A76" s="10"/>
      <c r="B76" s="83"/>
      <c r="C76" s="171"/>
      <c r="D76" s="171"/>
      <c r="E76" s="171"/>
      <c r="F76" s="84"/>
      <c r="G76" s="171"/>
      <c r="H76" s="171"/>
      <c r="I76" s="171"/>
      <c r="J76" s="171"/>
      <c r="K76" s="171"/>
      <c r="L76" s="171"/>
      <c r="M76" s="171"/>
      <c r="N76" s="171"/>
      <c r="O76" s="171"/>
      <c r="P76" s="171"/>
      <c r="Q76" s="171"/>
      <c r="R76" s="85"/>
      <c r="S76" s="10"/>
    </row>
    <row r="77" spans="1:19" ht="12.75" customHeight="1">
      <c r="A77" s="10"/>
      <c r="B77" s="498" t="s">
        <v>220</v>
      </c>
      <c r="C77" s="499"/>
      <c r="D77" s="499"/>
      <c r="E77" s="499"/>
      <c r="F77" s="499"/>
      <c r="G77" s="499"/>
      <c r="H77" s="499"/>
      <c r="I77" s="499"/>
      <c r="J77" s="499"/>
      <c r="K77" s="499"/>
      <c r="L77" s="499"/>
      <c r="M77" s="499"/>
      <c r="N77" s="499"/>
      <c r="O77" s="499"/>
      <c r="P77" s="499"/>
      <c r="Q77" s="499"/>
      <c r="R77" s="500"/>
      <c r="S77" s="10"/>
    </row>
    <row r="78" spans="1:19" ht="12.75" customHeight="1">
      <c r="A78" s="10"/>
      <c r="B78" s="172" t="s">
        <v>101</v>
      </c>
      <c r="C78" s="171"/>
      <c r="D78" s="118"/>
      <c r="E78" s="86" t="str">
        <f>IF(D78&lt;&gt;"",D78,"")</f>
        <v/>
      </c>
      <c r="F78" s="84" t="s">
        <v>223</v>
      </c>
      <c r="G78" s="171"/>
      <c r="H78" s="171"/>
      <c r="I78" s="171" t="s">
        <v>102</v>
      </c>
      <c r="J78" s="119"/>
      <c r="K78" s="87">
        <f>IF(E78&lt;&gt;"",IF(J78&lt;&gt;"",E78*J78,E78*#REF!),0)</f>
        <v>0</v>
      </c>
      <c r="L78" s="84" t="s">
        <v>60</v>
      </c>
      <c r="M78" s="171"/>
      <c r="N78" s="171"/>
      <c r="O78" s="171" t="s">
        <v>103</v>
      </c>
      <c r="P78" s="119"/>
      <c r="Q78" s="87">
        <f>IF(E78&lt;&gt;"",IF(P78&lt;&gt;"",E78*P78,E78*#REF!),0)</f>
        <v>0</v>
      </c>
      <c r="R78" s="85" t="s">
        <v>100</v>
      </c>
      <c r="S78" s="10"/>
    </row>
    <row r="79" spans="1:19" ht="12.75" customHeight="1">
      <c r="A79" s="10"/>
      <c r="B79" s="172" t="s">
        <v>104</v>
      </c>
      <c r="C79" s="171"/>
      <c r="D79" s="118"/>
      <c r="E79" s="86" t="str">
        <f>IF(D79&lt;&gt;"",D79,"")</f>
        <v/>
      </c>
      <c r="F79" s="84" t="s">
        <v>223</v>
      </c>
      <c r="G79" s="171"/>
      <c r="H79" s="171"/>
      <c r="I79" s="171" t="s">
        <v>105</v>
      </c>
      <c r="J79" s="119"/>
      <c r="K79" s="87">
        <f>IF(E79&lt;&gt;"",IF(J79&lt;&gt;"",E79*J79,E79*#REF!),0)</f>
        <v>0</v>
      </c>
      <c r="L79" s="84" t="s">
        <v>60</v>
      </c>
      <c r="M79" s="171"/>
      <c r="N79" s="171"/>
      <c r="O79" s="171" t="s">
        <v>106</v>
      </c>
      <c r="P79" s="119"/>
      <c r="Q79" s="87">
        <f>IF(E79&lt;&gt;"",IF(P79&lt;&gt;"",E79*P79,E79*#REF!),0)</f>
        <v>0</v>
      </c>
      <c r="R79" s="85" t="s">
        <v>100</v>
      </c>
      <c r="S79" s="10"/>
    </row>
    <row r="80" spans="1:19" ht="12.75" customHeight="1">
      <c r="A80" s="10"/>
      <c r="B80" s="172" t="s">
        <v>107</v>
      </c>
      <c r="C80" s="171"/>
      <c r="D80" s="118"/>
      <c r="E80" s="86" t="str">
        <f>IF(D80&lt;&gt;"",D80,"")</f>
        <v/>
      </c>
      <c r="F80" s="84" t="s">
        <v>223</v>
      </c>
      <c r="G80" s="171"/>
      <c r="H80" s="171"/>
      <c r="I80" s="171" t="s">
        <v>108</v>
      </c>
      <c r="J80" s="119"/>
      <c r="K80" s="87">
        <f>IF(E80&lt;&gt;"",IF(J80&lt;&gt;"",E80*J80,E80*#REF!),0)</f>
        <v>0</v>
      </c>
      <c r="L80" s="84" t="s">
        <v>60</v>
      </c>
      <c r="M80" s="171"/>
      <c r="N80" s="171"/>
      <c r="O80" s="171" t="s">
        <v>109</v>
      </c>
      <c r="P80" s="119"/>
      <c r="Q80" s="87">
        <f>IF(E80&lt;&gt;"",IF(P80&lt;&gt;"",E80*P80,E80*#REF!),0)</f>
        <v>0</v>
      </c>
      <c r="R80" s="85" t="s">
        <v>100</v>
      </c>
      <c r="S80" s="10"/>
    </row>
    <row r="81" spans="1:19" ht="12.75" customHeight="1">
      <c r="A81" s="10"/>
      <c r="B81" s="172" t="s">
        <v>110</v>
      </c>
      <c r="C81" s="171"/>
      <c r="D81" s="118"/>
      <c r="E81" s="86" t="str">
        <f>IF(D81&lt;&gt;"",D81,"")</f>
        <v/>
      </c>
      <c r="F81" s="84" t="s">
        <v>223</v>
      </c>
      <c r="G81" s="171"/>
      <c r="H81" s="171"/>
      <c r="I81" s="171" t="s">
        <v>111</v>
      </c>
      <c r="J81" s="119"/>
      <c r="K81" s="87">
        <f>IF(E81&lt;&gt;"",IF(J81&lt;&gt;"",E81*J81,E81*#REF!),0)</f>
        <v>0</v>
      </c>
      <c r="L81" s="84" t="s">
        <v>60</v>
      </c>
      <c r="M81" s="171"/>
      <c r="N81" s="171"/>
      <c r="O81" s="171" t="s">
        <v>112</v>
      </c>
      <c r="P81" s="119"/>
      <c r="Q81" s="87">
        <f>IF(E81&lt;&gt;"",IF(P81&lt;&gt;"",E81*P81,E81*#REF!),0)</f>
        <v>0</v>
      </c>
      <c r="R81" s="85" t="s">
        <v>100</v>
      </c>
      <c r="S81" s="10"/>
    </row>
    <row r="82" spans="1:19" ht="12.75" customHeight="1">
      <c r="A82" s="10"/>
      <c r="B82" s="172" t="s">
        <v>113</v>
      </c>
      <c r="C82" s="171"/>
      <c r="D82" s="118"/>
      <c r="E82" s="86" t="str">
        <f>IF(D82&lt;&gt;"",D82,"")</f>
        <v/>
      </c>
      <c r="F82" s="84" t="s">
        <v>223</v>
      </c>
      <c r="G82" s="171"/>
      <c r="H82" s="171"/>
      <c r="I82" s="171" t="s">
        <v>114</v>
      </c>
      <c r="J82" s="119"/>
      <c r="K82" s="87">
        <f>IF(E82&lt;&gt;"",IF(J82&lt;&gt;"",E82*J82,E82*#REF!),0)</f>
        <v>0</v>
      </c>
      <c r="L82" s="84" t="s">
        <v>60</v>
      </c>
      <c r="M82" s="171"/>
      <c r="N82" s="171"/>
      <c r="O82" s="171" t="s">
        <v>115</v>
      </c>
      <c r="P82" s="119"/>
      <c r="Q82" s="87">
        <f>IF(E82&lt;&gt;"",IF(P82&lt;&gt;"",E82*P82,E82*#REF!),0)</f>
        <v>0</v>
      </c>
      <c r="R82" s="85" t="s">
        <v>100</v>
      </c>
      <c r="S82" s="10"/>
    </row>
    <row r="83" spans="1:19">
      <c r="A83" s="10"/>
      <c r="B83" s="172"/>
      <c r="C83" s="171"/>
      <c r="D83" s="171"/>
      <c r="E83" s="171"/>
      <c r="F83" s="86"/>
      <c r="G83" s="171"/>
      <c r="H83" s="171"/>
      <c r="I83" s="86" t="s">
        <v>98</v>
      </c>
      <c r="J83" s="171"/>
      <c r="K83" s="87">
        <f>SUM(K78:K82)</f>
        <v>0</v>
      </c>
      <c r="L83" s="84" t="s">
        <v>60</v>
      </c>
      <c r="M83" s="171"/>
      <c r="N83" s="171"/>
      <c r="O83" s="86" t="s">
        <v>99</v>
      </c>
      <c r="P83" s="171"/>
      <c r="Q83" s="87">
        <f>SUM(Q78:Q82)</f>
        <v>0</v>
      </c>
      <c r="R83" s="85" t="s">
        <v>100</v>
      </c>
      <c r="S83" s="10"/>
    </row>
    <row r="84" spans="1:19">
      <c r="A84" s="10"/>
      <c r="B84" s="172"/>
      <c r="C84" s="171"/>
      <c r="D84" s="171"/>
      <c r="E84" s="171"/>
      <c r="F84" s="86"/>
      <c r="G84" s="171"/>
      <c r="H84" s="171"/>
      <c r="I84" s="86"/>
      <c r="J84" s="171"/>
      <c r="K84" s="87"/>
      <c r="L84" s="84"/>
      <c r="M84" s="171"/>
      <c r="N84" s="171"/>
      <c r="O84" s="86"/>
      <c r="P84" s="171"/>
      <c r="Q84" s="87"/>
      <c r="R84" s="85"/>
      <c r="S84" s="10"/>
    </row>
    <row r="85" spans="1:19">
      <c r="A85" s="10"/>
      <c r="B85" s="489" t="s">
        <v>222</v>
      </c>
      <c r="C85" s="490"/>
      <c r="D85" s="490"/>
      <c r="E85" s="490"/>
      <c r="F85" s="490"/>
      <c r="G85" s="490"/>
      <c r="H85" s="490"/>
      <c r="I85" s="490"/>
      <c r="J85" s="490"/>
      <c r="K85" s="490"/>
      <c r="L85" s="490"/>
      <c r="M85" s="490"/>
      <c r="N85" s="490"/>
      <c r="O85" s="490"/>
      <c r="P85" s="490"/>
      <c r="Q85" s="490"/>
      <c r="R85" s="491"/>
      <c r="S85" s="10"/>
    </row>
    <row r="86" spans="1:19">
      <c r="A86" s="10"/>
      <c r="B86" s="124"/>
      <c r="C86" s="121"/>
      <c r="D86" s="121"/>
      <c r="E86" s="121"/>
      <c r="F86" s="120"/>
      <c r="G86" s="121"/>
      <c r="H86" s="121"/>
      <c r="I86" s="121" t="s">
        <v>204</v>
      </c>
      <c r="J86" s="121" t="s">
        <v>231</v>
      </c>
      <c r="K86" s="120">
        <f>K83</f>
        <v>0</v>
      </c>
      <c r="L86" s="126" t="s">
        <v>60</v>
      </c>
      <c r="M86" s="121"/>
      <c r="N86" s="121"/>
      <c r="O86" s="121" t="s">
        <v>226</v>
      </c>
      <c r="P86" s="121" t="s">
        <v>234</v>
      </c>
      <c r="Q86" s="125">
        <f>Q83</f>
        <v>0</v>
      </c>
      <c r="R86" s="127" t="s">
        <v>100</v>
      </c>
      <c r="S86" s="10"/>
    </row>
    <row r="87" spans="1:19" ht="13.5" thickBot="1">
      <c r="A87" s="10"/>
      <c r="B87" s="173"/>
      <c r="C87" s="174"/>
      <c r="D87" s="174"/>
      <c r="E87" s="174"/>
      <c r="F87" s="88"/>
      <c r="G87" s="174"/>
      <c r="H87" s="174"/>
      <c r="I87" s="174"/>
      <c r="J87" s="174"/>
      <c r="K87" s="174"/>
      <c r="L87" s="89"/>
      <c r="M87" s="174"/>
      <c r="N87" s="174"/>
      <c r="O87" s="174"/>
      <c r="P87" s="174"/>
      <c r="Q87" s="174"/>
      <c r="R87" s="90"/>
      <c r="S87" s="10"/>
    </row>
    <row r="88" spans="1:19" ht="13.5" thickTop="1">
      <c r="A88" s="10"/>
      <c r="B88" s="10"/>
      <c r="C88" s="10"/>
      <c r="D88" s="10"/>
      <c r="E88" s="10"/>
      <c r="F88" s="10"/>
      <c r="G88" s="10"/>
      <c r="H88" s="10"/>
      <c r="I88" s="10"/>
      <c r="J88" s="10"/>
      <c r="K88" s="10"/>
      <c r="L88" s="10"/>
      <c r="M88" s="10"/>
      <c r="N88" s="10"/>
      <c r="O88" s="10"/>
      <c r="P88" s="10"/>
      <c r="Q88" s="10"/>
      <c r="R88" s="10"/>
      <c r="S88" s="10"/>
    </row>
    <row r="89" spans="1:19">
      <c r="A89" s="10"/>
      <c r="B89" s="10"/>
      <c r="C89" s="10"/>
      <c r="D89" s="10"/>
      <c r="E89" s="10"/>
      <c r="F89" s="10"/>
      <c r="G89" s="10"/>
      <c r="H89" s="10"/>
      <c r="I89" s="10"/>
      <c r="J89" s="10"/>
      <c r="K89" s="10"/>
      <c r="L89" s="10"/>
      <c r="M89" s="10"/>
      <c r="N89" s="10"/>
      <c r="O89" s="10"/>
      <c r="P89" s="10"/>
      <c r="Q89" s="10"/>
      <c r="R89" s="10"/>
      <c r="S89" s="10"/>
    </row>
    <row r="90" spans="1:19">
      <c r="L90" s="6"/>
    </row>
  </sheetData>
  <mergeCells count="21">
    <mergeCell ref="B77:R77"/>
    <mergeCell ref="B85:R85"/>
    <mergeCell ref="B60:R60"/>
    <mergeCell ref="B65:R65"/>
    <mergeCell ref="B69:R69"/>
    <mergeCell ref="B72:R72"/>
    <mergeCell ref="B75:R75"/>
    <mergeCell ref="B5:R5"/>
    <mergeCell ref="A2:S2"/>
    <mergeCell ref="B13:R13"/>
    <mergeCell ref="B23:R23"/>
    <mergeCell ref="B58:R58"/>
    <mergeCell ref="B33:R33"/>
    <mergeCell ref="B35:R35"/>
    <mergeCell ref="B38:R38"/>
    <mergeCell ref="B25:R25"/>
    <mergeCell ref="B29:R29"/>
    <mergeCell ref="B7:R7"/>
    <mergeCell ref="B15:R15"/>
    <mergeCell ref="B19:R19"/>
    <mergeCell ref="B54:R54"/>
  </mergeCells>
  <phoneticPr fontId="0" type="noConversion"/>
  <pageMargins left="0.75" right="0.75" top="1" bottom="1" header="0.5" footer="0.5"/>
  <pageSetup scale="41" orientation="landscape" horizontalDpi="4294967292"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249977111117893"/>
  </sheetPr>
  <dimension ref="A1:AH245"/>
  <sheetViews>
    <sheetView showGridLines="0" zoomScaleNormal="100" workbookViewId="0">
      <selection activeCell="K10" sqref="K10"/>
    </sheetView>
  </sheetViews>
  <sheetFormatPr defaultColWidth="8.83203125" defaultRowHeight="14.25"/>
  <cols>
    <col min="1" max="1" width="29.1640625" style="360" bestFit="1" customWidth="1"/>
    <col min="2" max="2" width="13.33203125" style="360" customWidth="1"/>
    <col min="3" max="3" width="14" style="360" customWidth="1"/>
    <col min="4" max="7" width="8.83203125" style="360"/>
    <col min="8" max="8" width="10.33203125" style="360" customWidth="1"/>
    <col min="9" max="16384" width="8.83203125" style="360"/>
  </cols>
  <sheetData>
    <row r="1" spans="1:34">
      <c r="A1" s="356">
        <v>1</v>
      </c>
      <c r="B1" s="357"/>
      <c r="C1" s="358"/>
      <c r="D1" s="358"/>
      <c r="E1" s="358"/>
      <c r="F1" s="358"/>
      <c r="G1" s="358"/>
      <c r="H1" s="357"/>
      <c r="I1" s="359"/>
      <c r="J1" s="359"/>
      <c r="K1" s="359"/>
      <c r="L1" s="359"/>
      <c r="M1" s="359"/>
      <c r="N1" s="359"/>
      <c r="O1" s="359"/>
      <c r="P1" s="359"/>
      <c r="Q1" s="359"/>
      <c r="R1" s="359"/>
      <c r="S1" s="359"/>
      <c r="T1" s="359"/>
      <c r="U1" s="359"/>
      <c r="V1" s="359"/>
      <c r="W1" s="359"/>
      <c r="X1" s="359"/>
      <c r="Y1" s="359"/>
      <c r="Z1" s="359"/>
      <c r="AA1" s="359"/>
      <c r="AB1" s="359"/>
      <c r="AC1" s="359"/>
      <c r="AD1" s="359"/>
      <c r="AE1" s="359"/>
      <c r="AF1" s="359"/>
      <c r="AG1" s="359"/>
      <c r="AH1" s="359"/>
    </row>
    <row r="2" spans="1:34">
      <c r="A2" s="356">
        <v>1</v>
      </c>
      <c r="B2" s="357"/>
      <c r="C2" s="358"/>
      <c r="D2" s="357"/>
      <c r="E2" s="357"/>
      <c r="F2" s="357"/>
      <c r="G2" s="357"/>
      <c r="H2" s="357"/>
      <c r="I2" s="359"/>
      <c r="J2" s="359"/>
      <c r="K2" s="359"/>
      <c r="L2" s="359"/>
      <c r="M2" s="359"/>
      <c r="N2" s="359"/>
      <c r="O2" s="359"/>
      <c r="P2" s="359"/>
      <c r="Q2" s="359"/>
      <c r="R2" s="359"/>
      <c r="S2" s="359"/>
      <c r="T2" s="359"/>
      <c r="U2" s="359"/>
      <c r="V2" s="359"/>
      <c r="W2" s="359"/>
      <c r="X2" s="359"/>
      <c r="Y2" s="359"/>
      <c r="Z2" s="359"/>
      <c r="AA2" s="359"/>
      <c r="AB2" s="359"/>
      <c r="AC2" s="359"/>
      <c r="AD2" s="359"/>
      <c r="AE2" s="359"/>
      <c r="AF2" s="359"/>
      <c r="AG2" s="359"/>
      <c r="AH2" s="359"/>
    </row>
    <row r="3" spans="1:34">
      <c r="A3" s="357">
        <v>1</v>
      </c>
      <c r="B3" s="357"/>
      <c r="C3" s="357"/>
      <c r="D3" s="357"/>
      <c r="E3" s="357"/>
      <c r="F3" s="357"/>
      <c r="G3" s="357"/>
      <c r="H3" s="357"/>
      <c r="I3" s="359"/>
      <c r="J3" s="359"/>
      <c r="K3" s="359"/>
      <c r="L3" s="359"/>
      <c r="M3" s="359"/>
      <c r="N3" s="359"/>
      <c r="O3" s="359"/>
      <c r="P3" s="359"/>
      <c r="Q3" s="359"/>
      <c r="R3" s="359"/>
      <c r="S3" s="359"/>
      <c r="T3" s="359"/>
      <c r="U3" s="359"/>
      <c r="V3" s="359"/>
      <c r="W3" s="359"/>
      <c r="X3" s="359"/>
      <c r="Y3" s="359"/>
      <c r="Z3" s="359"/>
      <c r="AA3" s="359"/>
      <c r="AB3" s="359"/>
      <c r="AC3" s="359"/>
      <c r="AD3" s="359"/>
      <c r="AE3" s="359"/>
      <c r="AF3" s="359"/>
      <c r="AG3" s="359"/>
      <c r="AH3" s="359"/>
    </row>
    <row r="4" spans="1:34">
      <c r="A4" s="357"/>
      <c r="B4" s="357"/>
      <c r="C4" s="357"/>
      <c r="D4" s="357"/>
      <c r="E4" s="357"/>
      <c r="F4" s="357"/>
      <c r="G4" s="357"/>
      <c r="H4" s="357"/>
      <c r="I4" s="359"/>
      <c r="J4" s="359"/>
      <c r="K4" s="359"/>
      <c r="L4" s="359"/>
      <c r="M4" s="359"/>
      <c r="N4" s="359"/>
      <c r="O4" s="359"/>
      <c r="P4" s="359"/>
      <c r="Q4" s="359"/>
      <c r="R4" s="359"/>
      <c r="S4" s="359"/>
      <c r="T4" s="359"/>
      <c r="U4" s="359"/>
      <c r="V4" s="359"/>
      <c r="W4" s="359"/>
      <c r="X4" s="359"/>
      <c r="Y4" s="359"/>
      <c r="Z4" s="359"/>
      <c r="AA4" s="359"/>
      <c r="AB4" s="359"/>
      <c r="AC4" s="359"/>
      <c r="AD4" s="359"/>
      <c r="AE4" s="359"/>
      <c r="AF4" s="359"/>
      <c r="AG4" s="359"/>
      <c r="AH4" s="359"/>
    </row>
    <row r="5" spans="1:34">
      <c r="A5" s="357"/>
      <c r="B5" s="357"/>
      <c r="C5" s="357"/>
      <c r="D5" s="357"/>
      <c r="E5" s="357"/>
      <c r="F5" s="357"/>
      <c r="G5" s="357"/>
      <c r="H5" s="357"/>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row>
    <row r="6" spans="1:34">
      <c r="A6" s="357"/>
      <c r="B6" s="357"/>
      <c r="C6" s="357"/>
      <c r="D6" s="357"/>
      <c r="E6" s="357"/>
      <c r="F6" s="357"/>
      <c r="G6" s="357"/>
      <c r="H6" s="357"/>
      <c r="I6" s="359"/>
      <c r="J6" s="359"/>
      <c r="K6" s="359"/>
      <c r="L6" s="359"/>
      <c r="M6" s="359"/>
      <c r="N6" s="359"/>
      <c r="O6" s="359"/>
      <c r="P6" s="359"/>
      <c r="Q6" s="359"/>
      <c r="R6" s="359"/>
      <c r="S6" s="359"/>
      <c r="T6" s="359"/>
      <c r="U6" s="359"/>
      <c r="V6" s="359"/>
      <c r="W6" s="359"/>
      <c r="X6" s="359"/>
      <c r="Y6" s="359"/>
      <c r="Z6" s="359"/>
      <c r="AA6" s="359"/>
      <c r="AB6" s="359"/>
      <c r="AC6" s="359"/>
      <c r="AD6" s="359"/>
      <c r="AE6" s="359"/>
      <c r="AF6" s="359"/>
      <c r="AG6" s="359"/>
      <c r="AH6" s="359"/>
    </row>
    <row r="7" spans="1:34">
      <c r="A7" s="357"/>
      <c r="B7" s="357"/>
      <c r="C7" s="357"/>
      <c r="D7" s="357"/>
      <c r="E7" s="357"/>
      <c r="F7" s="357"/>
      <c r="G7" s="357"/>
      <c r="H7" s="357"/>
      <c r="I7" s="359"/>
      <c r="J7" s="359"/>
      <c r="K7" s="359"/>
      <c r="L7" s="359"/>
      <c r="M7" s="359"/>
      <c r="N7" s="359"/>
      <c r="O7" s="359"/>
      <c r="P7" s="359"/>
      <c r="Q7" s="359"/>
      <c r="R7" s="359"/>
      <c r="S7" s="359"/>
      <c r="T7" s="359"/>
      <c r="U7" s="359"/>
      <c r="V7" s="359"/>
      <c r="W7" s="359"/>
      <c r="X7" s="359"/>
      <c r="Y7" s="359"/>
      <c r="Z7" s="359"/>
      <c r="AA7" s="359"/>
      <c r="AB7" s="359"/>
      <c r="AC7" s="359"/>
      <c r="AD7" s="359"/>
      <c r="AE7" s="359"/>
      <c r="AF7" s="359"/>
      <c r="AG7" s="359"/>
      <c r="AH7" s="359"/>
    </row>
    <row r="8" spans="1:34">
      <c r="A8" s="357"/>
      <c r="B8" s="357"/>
      <c r="C8" s="357"/>
      <c r="D8" s="357"/>
      <c r="E8" s="357"/>
      <c r="F8" s="357"/>
      <c r="G8" s="357"/>
      <c r="H8" s="357"/>
      <c r="I8" s="359"/>
      <c r="J8" s="359"/>
      <c r="K8" s="359"/>
      <c r="L8" s="359"/>
      <c r="M8" s="359"/>
      <c r="N8" s="359"/>
      <c r="O8" s="359"/>
      <c r="P8" s="359"/>
      <c r="Q8" s="359"/>
      <c r="R8" s="359"/>
      <c r="S8" s="359"/>
      <c r="T8" s="359"/>
      <c r="U8" s="359"/>
      <c r="V8" s="359"/>
      <c r="W8" s="359"/>
      <c r="X8" s="359"/>
      <c r="Y8" s="359"/>
      <c r="Z8" s="359"/>
      <c r="AA8" s="359"/>
      <c r="AB8" s="359"/>
      <c r="AC8" s="359"/>
      <c r="AD8" s="359"/>
      <c r="AE8" s="359"/>
      <c r="AF8" s="359"/>
      <c r="AG8" s="359"/>
      <c r="AH8" s="359"/>
    </row>
    <row r="9" spans="1:34">
      <c r="A9" s="357"/>
      <c r="B9" s="357"/>
      <c r="C9" s="357"/>
      <c r="D9" s="357"/>
      <c r="E9" s="357"/>
      <c r="F9" s="357"/>
      <c r="G9" s="357"/>
      <c r="H9" s="357"/>
      <c r="I9" s="359"/>
      <c r="J9" s="359"/>
      <c r="K9" s="359"/>
      <c r="L9" s="359"/>
      <c r="M9" s="359"/>
      <c r="N9" s="359"/>
      <c r="O9" s="359"/>
      <c r="P9" s="359"/>
      <c r="Q9" s="359"/>
      <c r="R9" s="359"/>
      <c r="S9" s="359"/>
      <c r="T9" s="359"/>
      <c r="U9" s="359"/>
      <c r="V9" s="359"/>
      <c r="W9" s="359"/>
      <c r="X9" s="359"/>
      <c r="Y9" s="359"/>
      <c r="Z9" s="359"/>
      <c r="AA9" s="359"/>
      <c r="AB9" s="359"/>
      <c r="AC9" s="359"/>
      <c r="AD9" s="359"/>
      <c r="AE9" s="359"/>
      <c r="AF9" s="359"/>
      <c r="AG9" s="359"/>
      <c r="AH9" s="359"/>
    </row>
    <row r="10" spans="1:34">
      <c r="A10" s="357"/>
      <c r="B10" s="357"/>
      <c r="C10" s="357"/>
      <c r="D10" s="357"/>
      <c r="E10" s="357"/>
      <c r="F10" s="357"/>
      <c r="G10" s="357"/>
      <c r="H10" s="357"/>
      <c r="I10" s="359"/>
      <c r="J10" s="359"/>
      <c r="K10" s="359"/>
      <c r="L10" s="359"/>
      <c r="M10" s="359"/>
      <c r="N10" s="359"/>
      <c r="O10" s="359"/>
      <c r="P10" s="359"/>
      <c r="Q10" s="359"/>
      <c r="R10" s="359"/>
      <c r="S10" s="359"/>
      <c r="T10" s="359"/>
      <c r="U10" s="359"/>
      <c r="V10" s="359"/>
      <c r="W10" s="359"/>
      <c r="X10" s="359"/>
      <c r="Y10" s="359"/>
      <c r="Z10" s="359"/>
      <c r="AA10" s="359"/>
      <c r="AB10" s="359"/>
      <c r="AC10" s="359"/>
      <c r="AD10" s="359"/>
      <c r="AE10" s="359"/>
      <c r="AF10" s="359"/>
      <c r="AG10" s="359"/>
      <c r="AH10" s="359"/>
    </row>
    <row r="11" spans="1:34">
      <c r="A11" s="357"/>
      <c r="B11" s="357"/>
      <c r="C11" s="357"/>
      <c r="D11" s="357"/>
      <c r="E11" s="357"/>
      <c r="F11" s="357"/>
      <c r="G11" s="357"/>
      <c r="H11" s="357"/>
      <c r="I11" s="359"/>
      <c r="J11" s="359"/>
      <c r="K11" s="359"/>
      <c r="L11" s="359"/>
      <c r="M11" s="359"/>
      <c r="N11" s="359"/>
      <c r="O11" s="359"/>
      <c r="P11" s="359"/>
      <c r="Q11" s="359"/>
      <c r="R11" s="359"/>
      <c r="S11" s="359"/>
      <c r="T11" s="359"/>
      <c r="U11" s="359"/>
      <c r="V11" s="359"/>
      <c r="W11" s="359"/>
      <c r="X11" s="359"/>
      <c r="Y11" s="359"/>
      <c r="Z11" s="359"/>
      <c r="AA11" s="359"/>
      <c r="AB11" s="359"/>
      <c r="AC11" s="359"/>
      <c r="AD11" s="359"/>
      <c r="AE11" s="359"/>
      <c r="AF11" s="359"/>
      <c r="AG11" s="359"/>
      <c r="AH11" s="359"/>
    </row>
    <row r="12" spans="1:34">
      <c r="A12" s="357"/>
      <c r="B12" s="357"/>
      <c r="C12" s="357"/>
      <c r="D12" s="357"/>
      <c r="E12" s="357"/>
      <c r="F12" s="357"/>
      <c r="G12" s="357"/>
      <c r="H12" s="357"/>
      <c r="I12" s="359"/>
      <c r="J12" s="359"/>
      <c r="K12" s="359"/>
      <c r="L12" s="359"/>
      <c r="M12" s="359"/>
      <c r="N12" s="359"/>
      <c r="O12" s="359"/>
      <c r="P12" s="359"/>
      <c r="Q12" s="359"/>
      <c r="R12" s="359"/>
      <c r="S12" s="359"/>
      <c r="T12" s="359"/>
      <c r="U12" s="359"/>
      <c r="V12" s="359"/>
      <c r="W12" s="359"/>
      <c r="X12" s="359"/>
      <c r="Y12" s="359"/>
      <c r="Z12" s="359"/>
      <c r="AA12" s="359"/>
      <c r="AB12" s="359"/>
      <c r="AC12" s="359"/>
      <c r="AD12" s="359"/>
      <c r="AE12" s="359"/>
      <c r="AF12" s="359"/>
      <c r="AG12" s="359"/>
      <c r="AH12" s="359"/>
    </row>
    <row r="13" spans="1:34">
      <c r="A13" s="357"/>
      <c r="B13" s="357"/>
      <c r="C13" s="357"/>
      <c r="D13" s="357"/>
      <c r="E13" s="357"/>
      <c r="F13" s="357"/>
      <c r="G13" s="357"/>
      <c r="H13" s="357"/>
      <c r="I13" s="359"/>
      <c r="J13" s="359"/>
      <c r="K13" s="359"/>
      <c r="L13" s="359"/>
      <c r="M13" s="359"/>
      <c r="N13" s="359"/>
      <c r="O13" s="359"/>
      <c r="P13" s="359"/>
      <c r="Q13" s="359"/>
      <c r="R13" s="359"/>
      <c r="S13" s="359"/>
      <c r="T13" s="359"/>
      <c r="U13" s="359"/>
      <c r="V13" s="359"/>
      <c r="W13" s="359"/>
      <c r="X13" s="359"/>
      <c r="Y13" s="359"/>
      <c r="Z13" s="359"/>
      <c r="AA13" s="359"/>
      <c r="AB13" s="359"/>
      <c r="AC13" s="359"/>
      <c r="AD13" s="359"/>
      <c r="AE13" s="359"/>
      <c r="AF13" s="359"/>
      <c r="AG13" s="359"/>
      <c r="AH13" s="359"/>
    </row>
    <row r="14" spans="1:34">
      <c r="A14" s="357"/>
      <c r="B14" s="357"/>
      <c r="C14" s="357"/>
      <c r="D14" s="357"/>
      <c r="E14" s="357"/>
      <c r="F14" s="357"/>
      <c r="G14" s="357"/>
      <c r="H14" s="357"/>
      <c r="I14" s="359"/>
      <c r="J14" s="359"/>
      <c r="K14" s="359"/>
      <c r="L14" s="359"/>
      <c r="M14" s="359"/>
      <c r="N14" s="359"/>
      <c r="O14" s="359"/>
      <c r="P14" s="359"/>
      <c r="Q14" s="359"/>
      <c r="R14" s="359"/>
      <c r="S14" s="359"/>
      <c r="T14" s="359"/>
      <c r="U14" s="359"/>
      <c r="V14" s="359"/>
      <c r="W14" s="359"/>
      <c r="X14" s="359"/>
      <c r="Y14" s="359"/>
      <c r="Z14" s="359"/>
      <c r="AA14" s="359"/>
      <c r="AB14" s="359"/>
      <c r="AC14" s="359"/>
      <c r="AD14" s="359"/>
      <c r="AE14" s="359"/>
      <c r="AF14" s="359"/>
      <c r="AG14" s="359"/>
      <c r="AH14" s="359"/>
    </row>
    <row r="15" spans="1:34">
      <c r="A15" s="357"/>
      <c r="B15" s="357"/>
      <c r="C15" s="357"/>
      <c r="D15" s="357"/>
      <c r="E15" s="357"/>
      <c r="F15" s="357"/>
      <c r="G15" s="357"/>
      <c r="H15" s="357"/>
      <c r="I15" s="359"/>
      <c r="J15" s="359"/>
      <c r="K15" s="359"/>
      <c r="L15" s="359"/>
      <c r="M15" s="359"/>
      <c r="N15" s="359"/>
      <c r="O15" s="359"/>
      <c r="P15" s="359"/>
      <c r="Q15" s="359"/>
      <c r="R15" s="359"/>
      <c r="S15" s="359"/>
      <c r="T15" s="359"/>
      <c r="U15" s="359"/>
      <c r="V15" s="359"/>
      <c r="W15" s="359"/>
      <c r="X15" s="359"/>
      <c r="Y15" s="359"/>
      <c r="Z15" s="359"/>
      <c r="AA15" s="359"/>
      <c r="AB15" s="359"/>
      <c r="AC15" s="359"/>
      <c r="AD15" s="359"/>
      <c r="AE15" s="359"/>
      <c r="AF15" s="359"/>
      <c r="AG15" s="359"/>
      <c r="AH15" s="359"/>
    </row>
    <row r="16" spans="1:34">
      <c r="A16" s="357"/>
      <c r="B16" s="357"/>
      <c r="C16" s="357"/>
      <c r="D16" s="357"/>
      <c r="E16" s="357"/>
      <c r="F16" s="357"/>
      <c r="G16" s="357"/>
      <c r="H16" s="357"/>
      <c r="I16" s="359"/>
      <c r="J16" s="359"/>
      <c r="K16" s="359"/>
      <c r="L16" s="359"/>
      <c r="M16" s="359"/>
      <c r="N16" s="359"/>
      <c r="O16" s="359"/>
      <c r="P16" s="359"/>
      <c r="Q16" s="359"/>
      <c r="R16" s="359"/>
      <c r="S16" s="359"/>
      <c r="T16" s="359"/>
      <c r="U16" s="359"/>
      <c r="V16" s="359"/>
      <c r="W16" s="359"/>
      <c r="X16" s="359"/>
      <c r="Y16" s="359"/>
      <c r="Z16" s="359"/>
      <c r="AA16" s="359"/>
      <c r="AB16" s="359"/>
      <c r="AC16" s="359"/>
      <c r="AD16" s="359"/>
      <c r="AE16" s="359"/>
      <c r="AF16" s="359"/>
      <c r="AG16" s="359"/>
      <c r="AH16" s="359"/>
    </row>
    <row r="17" spans="1:34">
      <c r="A17" s="357"/>
      <c r="B17" s="357"/>
      <c r="C17" s="357"/>
      <c r="D17" s="357"/>
      <c r="E17" s="357"/>
      <c r="F17" s="357"/>
      <c r="G17" s="357"/>
      <c r="H17" s="357"/>
      <c r="I17" s="359"/>
      <c r="J17" s="359"/>
      <c r="K17" s="359"/>
      <c r="L17" s="359"/>
      <c r="M17" s="359"/>
      <c r="N17" s="359"/>
      <c r="O17" s="359"/>
      <c r="P17" s="359"/>
      <c r="Q17" s="359"/>
      <c r="R17" s="359"/>
      <c r="S17" s="359"/>
      <c r="T17" s="359"/>
      <c r="U17" s="359"/>
      <c r="V17" s="359"/>
      <c r="W17" s="359"/>
      <c r="X17" s="359"/>
      <c r="Y17" s="359"/>
      <c r="Z17" s="359"/>
      <c r="AA17" s="359"/>
      <c r="AB17" s="359"/>
      <c r="AC17" s="359"/>
      <c r="AD17" s="359"/>
      <c r="AE17" s="359"/>
      <c r="AF17" s="359"/>
      <c r="AG17" s="359"/>
      <c r="AH17" s="359"/>
    </row>
    <row r="18" spans="1:34">
      <c r="A18" s="357"/>
      <c r="B18" s="357"/>
      <c r="C18" s="357"/>
      <c r="D18" s="357"/>
      <c r="E18" s="357"/>
      <c r="F18" s="357"/>
      <c r="G18" s="357"/>
      <c r="H18" s="357"/>
      <c r="I18" s="359"/>
      <c r="J18" s="359"/>
      <c r="K18" s="359"/>
      <c r="L18" s="359"/>
      <c r="M18" s="359"/>
      <c r="N18" s="359"/>
      <c r="O18" s="359"/>
      <c r="P18" s="359"/>
      <c r="Q18" s="359"/>
      <c r="R18" s="359"/>
      <c r="S18" s="359"/>
      <c r="T18" s="359"/>
      <c r="U18" s="359"/>
      <c r="V18" s="359"/>
      <c r="W18" s="359"/>
      <c r="X18" s="359"/>
      <c r="Y18" s="359"/>
      <c r="Z18" s="359"/>
      <c r="AA18" s="359"/>
      <c r="AB18" s="359"/>
      <c r="AC18" s="359"/>
      <c r="AD18" s="359"/>
      <c r="AE18" s="359"/>
      <c r="AF18" s="359"/>
      <c r="AG18" s="359"/>
      <c r="AH18" s="359"/>
    </row>
    <row r="19" spans="1:34">
      <c r="A19" s="357"/>
      <c r="B19" s="357"/>
      <c r="C19" s="357"/>
      <c r="D19" s="357"/>
      <c r="E19" s="357"/>
      <c r="F19" s="357"/>
      <c r="G19" s="357"/>
      <c r="H19" s="357"/>
      <c r="I19" s="359"/>
      <c r="J19" s="359"/>
      <c r="K19" s="359"/>
      <c r="L19" s="359"/>
      <c r="M19" s="359"/>
      <c r="N19" s="359"/>
      <c r="O19" s="359"/>
      <c r="P19" s="359"/>
      <c r="Q19" s="359"/>
      <c r="R19" s="359"/>
      <c r="S19" s="359"/>
      <c r="T19" s="359"/>
      <c r="U19" s="359"/>
      <c r="V19" s="359"/>
      <c r="W19" s="359"/>
      <c r="X19" s="359"/>
      <c r="Y19" s="359"/>
      <c r="Z19" s="359"/>
      <c r="AA19" s="359"/>
      <c r="AB19" s="359"/>
      <c r="AC19" s="359"/>
      <c r="AD19" s="359"/>
      <c r="AE19" s="359"/>
      <c r="AF19" s="359"/>
      <c r="AG19" s="359"/>
      <c r="AH19" s="359"/>
    </row>
    <row r="20" spans="1:34">
      <c r="A20" s="357"/>
      <c r="B20" s="357"/>
      <c r="C20" s="357"/>
      <c r="D20" s="357"/>
      <c r="E20" s="357"/>
      <c r="F20" s="357"/>
      <c r="G20" s="357"/>
      <c r="H20" s="357"/>
      <c r="I20" s="359"/>
      <c r="J20" s="359"/>
      <c r="K20" s="359"/>
      <c r="L20" s="359"/>
      <c r="M20" s="359"/>
      <c r="N20" s="359"/>
      <c r="O20" s="359"/>
      <c r="P20" s="359"/>
      <c r="Q20" s="359"/>
      <c r="R20" s="359"/>
      <c r="S20" s="359"/>
      <c r="T20" s="359"/>
      <c r="U20" s="359"/>
      <c r="V20" s="359"/>
      <c r="W20" s="359"/>
      <c r="X20" s="359"/>
      <c r="Y20" s="359"/>
      <c r="Z20" s="359"/>
      <c r="AA20" s="359"/>
      <c r="AB20" s="359"/>
      <c r="AC20" s="359"/>
      <c r="AD20" s="359"/>
      <c r="AE20" s="359"/>
      <c r="AF20" s="359"/>
      <c r="AG20" s="359"/>
      <c r="AH20" s="359"/>
    </row>
    <row r="21" spans="1:34">
      <c r="A21" s="357"/>
      <c r="B21" s="357"/>
      <c r="C21" s="357"/>
      <c r="D21" s="357"/>
      <c r="E21" s="357"/>
      <c r="F21" s="357"/>
      <c r="G21" s="357"/>
      <c r="H21" s="357"/>
      <c r="I21" s="359"/>
      <c r="J21" s="359"/>
      <c r="K21" s="359"/>
      <c r="L21" s="359"/>
      <c r="M21" s="359"/>
      <c r="N21" s="359"/>
      <c r="O21" s="359"/>
      <c r="P21" s="359"/>
      <c r="Q21" s="359"/>
      <c r="R21" s="359"/>
      <c r="S21" s="359"/>
      <c r="T21" s="359"/>
      <c r="U21" s="359"/>
      <c r="V21" s="359"/>
      <c r="W21" s="359"/>
      <c r="X21" s="359"/>
      <c r="Y21" s="359"/>
      <c r="Z21" s="359"/>
      <c r="AA21" s="359"/>
      <c r="AB21" s="359"/>
      <c r="AC21" s="359"/>
      <c r="AD21" s="359"/>
      <c r="AE21" s="359"/>
      <c r="AF21" s="359"/>
      <c r="AG21" s="359"/>
      <c r="AH21" s="359"/>
    </row>
    <row r="22" spans="1:34">
      <c r="A22" s="357"/>
      <c r="B22" s="357"/>
      <c r="C22" s="357"/>
      <c r="D22" s="357"/>
      <c r="E22" s="357"/>
      <c r="F22" s="357"/>
      <c r="G22" s="357"/>
      <c r="H22" s="357"/>
      <c r="I22" s="359"/>
      <c r="J22" s="359"/>
      <c r="K22" s="359"/>
      <c r="L22" s="359"/>
      <c r="M22" s="359"/>
      <c r="N22" s="359"/>
      <c r="O22" s="359"/>
      <c r="P22" s="359"/>
      <c r="Q22" s="359"/>
      <c r="R22" s="359"/>
      <c r="S22" s="359"/>
      <c r="T22" s="359"/>
      <c r="U22" s="359"/>
      <c r="V22" s="359"/>
      <c r="W22" s="359"/>
      <c r="X22" s="359"/>
      <c r="Y22" s="359"/>
      <c r="Z22" s="359"/>
      <c r="AA22" s="359"/>
      <c r="AB22" s="359"/>
      <c r="AC22" s="359"/>
      <c r="AD22" s="359"/>
      <c r="AE22" s="359"/>
      <c r="AF22" s="359"/>
      <c r="AG22" s="359"/>
      <c r="AH22" s="359"/>
    </row>
    <row r="23" spans="1:34">
      <c r="A23" s="357"/>
      <c r="B23" s="357"/>
      <c r="C23" s="357"/>
      <c r="D23" s="357"/>
      <c r="E23" s="357"/>
      <c r="F23" s="357"/>
      <c r="G23" s="357"/>
      <c r="H23" s="357"/>
      <c r="I23" s="359"/>
      <c r="J23" s="359"/>
      <c r="K23" s="359"/>
      <c r="L23" s="359"/>
      <c r="M23" s="359"/>
      <c r="N23" s="359"/>
      <c r="O23" s="359"/>
      <c r="P23" s="359"/>
      <c r="Q23" s="359"/>
      <c r="R23" s="359"/>
      <c r="S23" s="359"/>
      <c r="T23" s="359"/>
      <c r="U23" s="359"/>
      <c r="V23" s="359"/>
      <c r="W23" s="359"/>
      <c r="X23" s="359"/>
      <c r="Y23" s="359"/>
      <c r="Z23" s="359"/>
      <c r="AA23" s="359"/>
      <c r="AB23" s="359"/>
      <c r="AC23" s="359"/>
      <c r="AD23" s="359"/>
      <c r="AE23" s="359"/>
      <c r="AF23" s="359"/>
      <c r="AG23" s="359"/>
      <c r="AH23" s="359"/>
    </row>
    <row r="24" spans="1:34">
      <c r="A24" s="357"/>
      <c r="B24" s="357"/>
      <c r="C24" s="357"/>
      <c r="D24" s="357"/>
      <c r="E24" s="357"/>
      <c r="F24" s="357"/>
      <c r="G24" s="357"/>
      <c r="H24" s="357"/>
      <c r="I24" s="359"/>
      <c r="J24" s="359"/>
      <c r="K24" s="359"/>
      <c r="L24" s="359"/>
      <c r="M24" s="359"/>
      <c r="N24" s="359"/>
      <c r="O24" s="359"/>
      <c r="P24" s="359"/>
      <c r="Q24" s="359"/>
      <c r="R24" s="359"/>
      <c r="S24" s="359"/>
      <c r="T24" s="359"/>
      <c r="U24" s="359"/>
      <c r="V24" s="359"/>
      <c r="W24" s="359"/>
      <c r="X24" s="359"/>
      <c r="Y24" s="359"/>
      <c r="Z24" s="359"/>
      <c r="AA24" s="359"/>
      <c r="AB24" s="359"/>
      <c r="AC24" s="359"/>
      <c r="AD24" s="359"/>
      <c r="AE24" s="359"/>
      <c r="AF24" s="359"/>
      <c r="AG24" s="359"/>
      <c r="AH24" s="359"/>
    </row>
    <row r="25" spans="1:34">
      <c r="A25" s="357"/>
      <c r="B25" s="357"/>
      <c r="C25" s="357"/>
      <c r="D25" s="357"/>
      <c r="E25" s="357"/>
      <c r="F25" s="357"/>
      <c r="G25" s="357"/>
      <c r="H25" s="357"/>
      <c r="I25" s="359"/>
      <c r="J25" s="359"/>
      <c r="K25" s="359"/>
      <c r="L25" s="359"/>
      <c r="M25" s="359"/>
      <c r="N25" s="359"/>
      <c r="O25" s="359"/>
      <c r="P25" s="359"/>
      <c r="Q25" s="359"/>
      <c r="R25" s="359"/>
      <c r="S25" s="359"/>
      <c r="T25" s="359"/>
      <c r="U25" s="359"/>
      <c r="V25" s="359"/>
      <c r="W25" s="359"/>
      <c r="X25" s="359"/>
      <c r="Y25" s="359"/>
      <c r="Z25" s="359"/>
      <c r="AA25" s="359"/>
      <c r="AB25" s="359"/>
      <c r="AC25" s="359"/>
      <c r="AD25" s="359"/>
      <c r="AE25" s="359"/>
      <c r="AF25" s="359"/>
      <c r="AG25" s="359"/>
      <c r="AH25" s="359"/>
    </row>
    <row r="26" spans="1:34">
      <c r="A26" s="357"/>
      <c r="B26" s="357"/>
      <c r="C26" s="357"/>
      <c r="D26" s="357"/>
      <c r="E26" s="357"/>
      <c r="F26" s="357"/>
      <c r="G26" s="357"/>
      <c r="H26" s="357"/>
      <c r="I26" s="359"/>
      <c r="J26" s="359"/>
      <c r="K26" s="359"/>
      <c r="L26" s="359"/>
      <c r="M26" s="359"/>
      <c r="N26" s="359"/>
      <c r="O26" s="359"/>
      <c r="P26" s="359"/>
      <c r="Q26" s="359"/>
      <c r="R26" s="359"/>
      <c r="S26" s="359"/>
      <c r="T26" s="359"/>
      <c r="U26" s="359"/>
      <c r="V26" s="359"/>
      <c r="W26" s="359"/>
      <c r="X26" s="359"/>
      <c r="Y26" s="359"/>
      <c r="Z26" s="359"/>
      <c r="AA26" s="359"/>
      <c r="AB26" s="359"/>
      <c r="AC26" s="359"/>
      <c r="AD26" s="359"/>
      <c r="AE26" s="359"/>
      <c r="AF26" s="359"/>
      <c r="AG26" s="359"/>
      <c r="AH26" s="359"/>
    </row>
    <row r="27" spans="1:34">
      <c r="A27" s="357"/>
      <c r="B27" s="357"/>
      <c r="C27" s="357"/>
      <c r="D27" s="357"/>
      <c r="E27" s="357"/>
      <c r="F27" s="357"/>
      <c r="G27" s="357"/>
      <c r="H27" s="357"/>
      <c r="I27" s="359"/>
      <c r="J27" s="359"/>
      <c r="K27" s="359"/>
      <c r="L27" s="359"/>
      <c r="M27" s="359"/>
      <c r="N27" s="359"/>
      <c r="O27" s="359"/>
      <c r="P27" s="359"/>
      <c r="Q27" s="359"/>
      <c r="R27" s="359"/>
      <c r="S27" s="359"/>
      <c r="T27" s="359"/>
      <c r="U27" s="359"/>
      <c r="V27" s="359"/>
      <c r="W27" s="359"/>
      <c r="X27" s="359"/>
      <c r="Y27" s="359"/>
      <c r="Z27" s="359"/>
      <c r="AA27" s="359"/>
      <c r="AB27" s="359"/>
      <c r="AC27" s="359"/>
      <c r="AD27" s="359"/>
      <c r="AE27" s="359"/>
      <c r="AF27" s="359"/>
      <c r="AG27" s="359"/>
      <c r="AH27" s="359"/>
    </row>
    <row r="28" spans="1:34">
      <c r="A28" s="357"/>
      <c r="B28" s="357"/>
      <c r="C28" s="357"/>
      <c r="D28" s="357"/>
      <c r="E28" s="357"/>
      <c r="F28" s="357"/>
      <c r="G28" s="357"/>
      <c r="H28" s="357"/>
      <c r="I28" s="359"/>
      <c r="J28" s="359"/>
      <c r="K28" s="359"/>
      <c r="L28" s="359"/>
      <c r="M28" s="359"/>
      <c r="N28" s="359"/>
      <c r="O28" s="359"/>
      <c r="P28" s="359"/>
      <c r="Q28" s="359"/>
      <c r="R28" s="359"/>
      <c r="S28" s="359"/>
      <c r="T28" s="359"/>
      <c r="U28" s="359"/>
      <c r="V28" s="359"/>
      <c r="W28" s="359"/>
      <c r="X28" s="359"/>
      <c r="Y28" s="359"/>
      <c r="Z28" s="359"/>
      <c r="AA28" s="359"/>
      <c r="AB28" s="359"/>
      <c r="AC28" s="359"/>
      <c r="AD28" s="359"/>
      <c r="AE28" s="359"/>
      <c r="AF28" s="359"/>
      <c r="AG28" s="359"/>
      <c r="AH28" s="359"/>
    </row>
    <row r="29" spans="1:34">
      <c r="A29" s="357"/>
      <c r="B29" s="357"/>
      <c r="C29" s="357"/>
      <c r="D29" s="357"/>
      <c r="E29" s="357"/>
      <c r="F29" s="357"/>
      <c r="G29" s="357"/>
      <c r="H29" s="357"/>
      <c r="I29" s="359"/>
      <c r="J29" s="359"/>
      <c r="K29" s="359"/>
      <c r="L29" s="359"/>
      <c r="M29" s="359"/>
      <c r="N29" s="359"/>
      <c r="O29" s="359"/>
      <c r="P29" s="359"/>
      <c r="Q29" s="359"/>
      <c r="R29" s="359"/>
      <c r="S29" s="359"/>
      <c r="T29" s="359"/>
      <c r="U29" s="359"/>
      <c r="V29" s="359"/>
      <c r="W29" s="359"/>
      <c r="X29" s="359"/>
      <c r="Y29" s="359"/>
      <c r="Z29" s="359"/>
      <c r="AA29" s="359"/>
      <c r="AB29" s="359"/>
      <c r="AC29" s="359"/>
      <c r="AD29" s="359"/>
      <c r="AE29" s="359"/>
      <c r="AF29" s="359"/>
      <c r="AG29" s="359"/>
      <c r="AH29" s="359"/>
    </row>
    <row r="30" spans="1:34">
      <c r="A30" s="357"/>
      <c r="B30" s="357"/>
      <c r="C30" s="357"/>
      <c r="D30" s="357"/>
      <c r="E30" s="357"/>
      <c r="F30" s="357"/>
      <c r="G30" s="357"/>
      <c r="H30" s="357"/>
      <c r="I30" s="359"/>
      <c r="J30" s="359"/>
      <c r="K30" s="359"/>
      <c r="L30" s="359"/>
      <c r="M30" s="359"/>
      <c r="N30" s="359"/>
      <c r="O30" s="359"/>
      <c r="P30" s="359"/>
      <c r="Q30" s="359"/>
      <c r="R30" s="359"/>
      <c r="S30" s="359"/>
      <c r="T30" s="359"/>
      <c r="U30" s="359"/>
      <c r="V30" s="359"/>
      <c r="W30" s="359"/>
      <c r="X30" s="359"/>
      <c r="Y30" s="359"/>
      <c r="Z30" s="359"/>
      <c r="AA30" s="359"/>
      <c r="AB30" s="359"/>
      <c r="AC30" s="359"/>
      <c r="AD30" s="359"/>
      <c r="AE30" s="359"/>
      <c r="AF30" s="359"/>
      <c r="AG30" s="359"/>
      <c r="AH30" s="359"/>
    </row>
    <row r="31" spans="1:34">
      <c r="A31" s="357"/>
      <c r="B31" s="357"/>
      <c r="C31" s="357"/>
      <c r="D31" s="357"/>
      <c r="E31" s="357"/>
      <c r="F31" s="357"/>
      <c r="G31" s="357"/>
      <c r="H31" s="357"/>
      <c r="I31" s="359"/>
      <c r="J31" s="359"/>
      <c r="K31" s="359"/>
      <c r="L31" s="359"/>
      <c r="M31" s="359"/>
      <c r="N31" s="359"/>
      <c r="O31" s="359"/>
      <c r="P31" s="359"/>
      <c r="Q31" s="359"/>
      <c r="R31" s="359"/>
      <c r="S31" s="359"/>
      <c r="T31" s="359"/>
      <c r="U31" s="359"/>
      <c r="V31" s="359"/>
      <c r="W31" s="359"/>
      <c r="X31" s="359"/>
      <c r="Y31" s="359"/>
      <c r="Z31" s="359"/>
      <c r="AA31" s="359"/>
      <c r="AB31" s="359"/>
      <c r="AC31" s="359"/>
      <c r="AD31" s="359"/>
      <c r="AE31" s="359"/>
      <c r="AF31" s="359"/>
      <c r="AG31" s="359"/>
      <c r="AH31" s="359"/>
    </row>
    <row r="32" spans="1:34">
      <c r="A32" s="357"/>
      <c r="B32" s="357"/>
      <c r="C32" s="357"/>
      <c r="D32" s="357"/>
      <c r="E32" s="357"/>
      <c r="F32" s="357"/>
      <c r="G32" s="357"/>
      <c r="H32" s="357"/>
      <c r="I32" s="359"/>
      <c r="J32" s="359"/>
      <c r="K32" s="359"/>
      <c r="L32" s="359"/>
      <c r="M32" s="359"/>
      <c r="N32" s="359"/>
      <c r="O32" s="359"/>
      <c r="P32" s="359"/>
      <c r="Q32" s="359"/>
      <c r="R32" s="359"/>
      <c r="S32" s="359"/>
      <c r="T32" s="359"/>
      <c r="U32" s="359"/>
      <c r="V32" s="359"/>
      <c r="W32" s="359"/>
      <c r="X32" s="359"/>
      <c r="Y32" s="359"/>
      <c r="Z32" s="359"/>
      <c r="AA32" s="359"/>
      <c r="AB32" s="359"/>
      <c r="AC32" s="359"/>
      <c r="AD32" s="359"/>
      <c r="AE32" s="359"/>
      <c r="AF32" s="359"/>
      <c r="AG32" s="359"/>
      <c r="AH32" s="359"/>
    </row>
    <row r="33" spans="1:34">
      <c r="A33" s="358"/>
      <c r="B33" s="358"/>
      <c r="C33" s="358"/>
      <c r="D33" s="358"/>
      <c r="E33" s="358"/>
      <c r="F33" s="358"/>
      <c r="G33" s="358"/>
      <c r="H33" s="358"/>
      <c r="I33" s="359"/>
      <c r="J33" s="359"/>
      <c r="K33" s="359"/>
      <c r="L33" s="359"/>
      <c r="M33" s="359"/>
      <c r="N33" s="359"/>
      <c r="O33" s="359"/>
      <c r="P33" s="359"/>
      <c r="Q33" s="359"/>
      <c r="R33" s="359"/>
      <c r="S33" s="359"/>
      <c r="T33" s="359"/>
      <c r="U33" s="359"/>
      <c r="V33" s="359"/>
      <c r="W33" s="359"/>
      <c r="X33" s="359"/>
      <c r="Y33" s="359"/>
      <c r="Z33" s="359"/>
      <c r="AA33" s="359"/>
      <c r="AB33" s="359"/>
      <c r="AC33" s="359"/>
      <c r="AD33" s="359"/>
      <c r="AE33" s="359"/>
      <c r="AF33" s="359"/>
      <c r="AG33" s="359"/>
      <c r="AH33" s="359"/>
    </row>
    <row r="34" spans="1:34">
      <c r="A34" s="358"/>
      <c r="B34" s="358"/>
      <c r="C34" s="358"/>
      <c r="D34" s="358"/>
      <c r="E34" s="358"/>
      <c r="F34" s="358"/>
      <c r="G34" s="358"/>
      <c r="H34" s="358"/>
      <c r="I34" s="359"/>
      <c r="J34" s="359"/>
      <c r="K34" s="359"/>
      <c r="L34" s="359"/>
      <c r="M34" s="359"/>
      <c r="N34" s="359"/>
      <c r="O34" s="359"/>
      <c r="P34" s="359"/>
      <c r="Q34" s="359"/>
      <c r="R34" s="359"/>
      <c r="S34" s="359"/>
      <c r="T34" s="359"/>
      <c r="U34" s="359"/>
      <c r="V34" s="359"/>
      <c r="W34" s="359"/>
      <c r="X34" s="359"/>
      <c r="Y34" s="359"/>
      <c r="Z34" s="359"/>
      <c r="AA34" s="359"/>
      <c r="AB34" s="359"/>
      <c r="AC34" s="359"/>
      <c r="AD34" s="359"/>
      <c r="AE34" s="359"/>
      <c r="AF34" s="359"/>
      <c r="AG34" s="359"/>
      <c r="AH34" s="359"/>
    </row>
    <row r="35" spans="1:34">
      <c r="A35" s="358"/>
      <c r="B35" s="358"/>
      <c r="C35" s="358"/>
      <c r="D35" s="358"/>
      <c r="E35" s="358"/>
      <c r="F35" s="358"/>
      <c r="G35" s="358"/>
      <c r="H35" s="358"/>
      <c r="I35" s="359"/>
      <c r="J35" s="359"/>
      <c r="K35" s="359"/>
      <c r="L35" s="359"/>
      <c r="M35" s="359"/>
      <c r="N35" s="359"/>
      <c r="O35" s="359"/>
      <c r="P35" s="359"/>
      <c r="Q35" s="359"/>
      <c r="R35" s="359"/>
      <c r="S35" s="359"/>
      <c r="T35" s="359"/>
      <c r="U35" s="359"/>
      <c r="V35" s="359"/>
      <c r="W35" s="359"/>
      <c r="X35" s="359"/>
      <c r="Y35" s="359"/>
      <c r="Z35" s="359"/>
      <c r="AA35" s="359"/>
      <c r="AB35" s="359"/>
      <c r="AC35" s="359"/>
      <c r="AD35" s="359"/>
      <c r="AE35" s="359"/>
      <c r="AF35" s="359"/>
      <c r="AG35" s="359"/>
      <c r="AH35" s="359"/>
    </row>
    <row r="36" spans="1:34">
      <c r="A36" s="358"/>
      <c r="B36" s="358"/>
      <c r="C36" s="358"/>
      <c r="D36" s="358"/>
      <c r="E36" s="358"/>
      <c r="F36" s="358"/>
      <c r="G36" s="358"/>
      <c r="H36" s="358"/>
      <c r="I36" s="359"/>
      <c r="J36" s="359"/>
      <c r="K36" s="359"/>
      <c r="L36" s="359"/>
      <c r="M36" s="359"/>
      <c r="N36" s="359"/>
      <c r="O36" s="359"/>
      <c r="P36" s="359"/>
      <c r="Q36" s="359"/>
      <c r="R36" s="359"/>
      <c r="S36" s="359"/>
      <c r="T36" s="359"/>
      <c r="U36" s="359"/>
      <c r="V36" s="359"/>
      <c r="W36" s="359"/>
      <c r="X36" s="359"/>
      <c r="Y36" s="359"/>
      <c r="Z36" s="359"/>
      <c r="AA36" s="359"/>
      <c r="AB36" s="359"/>
      <c r="AC36" s="359"/>
      <c r="AD36" s="359"/>
      <c r="AE36" s="359"/>
      <c r="AF36" s="359"/>
      <c r="AG36" s="359"/>
      <c r="AH36" s="359"/>
    </row>
    <row r="37" spans="1:34">
      <c r="A37" s="358"/>
      <c r="B37" s="358"/>
      <c r="C37" s="358"/>
      <c r="D37" s="358"/>
      <c r="E37" s="358"/>
      <c r="F37" s="358"/>
      <c r="G37" s="358"/>
      <c r="H37" s="358"/>
      <c r="I37" s="359"/>
      <c r="J37" s="359"/>
      <c r="K37" s="359"/>
      <c r="L37" s="359"/>
      <c r="M37" s="359"/>
      <c r="N37" s="359"/>
      <c r="O37" s="359"/>
      <c r="P37" s="359"/>
      <c r="Q37" s="359"/>
      <c r="R37" s="359"/>
      <c r="S37" s="359"/>
      <c r="T37" s="359"/>
      <c r="U37" s="359"/>
      <c r="V37" s="359"/>
      <c r="W37" s="359"/>
      <c r="X37" s="359"/>
      <c r="Y37" s="359"/>
      <c r="Z37" s="359"/>
      <c r="AA37" s="359"/>
      <c r="AB37" s="359"/>
      <c r="AC37" s="359"/>
      <c r="AD37" s="359"/>
      <c r="AE37" s="359"/>
      <c r="AF37" s="359"/>
      <c r="AG37" s="359"/>
      <c r="AH37" s="359"/>
    </row>
    <row r="38" spans="1:34">
      <c r="A38" s="358"/>
      <c r="B38" s="358"/>
      <c r="C38" s="358"/>
      <c r="D38" s="358"/>
      <c r="E38" s="358"/>
      <c r="F38" s="358"/>
      <c r="G38" s="358"/>
      <c r="H38" s="358"/>
      <c r="I38" s="359"/>
      <c r="J38" s="359"/>
      <c r="K38" s="359"/>
      <c r="L38" s="359"/>
      <c r="M38" s="359"/>
      <c r="N38" s="359"/>
      <c r="O38" s="359"/>
      <c r="P38" s="359"/>
      <c r="Q38" s="359"/>
      <c r="R38" s="359"/>
      <c r="S38" s="359"/>
      <c r="T38" s="359"/>
      <c r="U38" s="359"/>
      <c r="V38" s="359"/>
      <c r="W38" s="359"/>
      <c r="X38" s="359"/>
      <c r="Y38" s="359"/>
      <c r="Z38" s="359"/>
      <c r="AA38" s="359"/>
      <c r="AB38" s="359"/>
      <c r="AC38" s="359"/>
      <c r="AD38" s="359"/>
      <c r="AE38" s="359"/>
      <c r="AF38" s="359"/>
      <c r="AG38" s="359"/>
      <c r="AH38" s="359"/>
    </row>
    <row r="39" spans="1:34">
      <c r="A39" s="358"/>
      <c r="B39" s="358"/>
      <c r="C39" s="358"/>
      <c r="D39" s="358"/>
      <c r="E39" s="358"/>
      <c r="F39" s="358"/>
      <c r="G39" s="358"/>
      <c r="H39" s="358"/>
      <c r="I39" s="359"/>
      <c r="J39" s="359"/>
      <c r="K39" s="359"/>
      <c r="L39" s="359"/>
      <c r="M39" s="359"/>
      <c r="N39" s="359"/>
      <c r="O39" s="359"/>
      <c r="P39" s="359"/>
      <c r="Q39" s="359"/>
      <c r="R39" s="359"/>
      <c r="S39" s="359"/>
      <c r="T39" s="359"/>
      <c r="U39" s="359"/>
      <c r="V39" s="359"/>
      <c r="W39" s="359"/>
      <c r="X39" s="359"/>
      <c r="Y39" s="359"/>
      <c r="Z39" s="359"/>
      <c r="AA39" s="359"/>
      <c r="AB39" s="359"/>
      <c r="AC39" s="359"/>
      <c r="AD39" s="359"/>
      <c r="AE39" s="359"/>
      <c r="AF39" s="359"/>
      <c r="AG39" s="359"/>
      <c r="AH39" s="359"/>
    </row>
    <row r="40" spans="1:34">
      <c r="A40" s="358"/>
      <c r="B40" s="358"/>
      <c r="C40" s="358"/>
      <c r="D40" s="358"/>
      <c r="E40" s="358"/>
      <c r="F40" s="358"/>
      <c r="G40" s="358"/>
      <c r="H40" s="358"/>
      <c r="I40" s="359"/>
      <c r="J40" s="359"/>
      <c r="K40" s="359"/>
      <c r="L40" s="359"/>
      <c r="M40" s="359"/>
      <c r="N40" s="359"/>
      <c r="O40" s="359"/>
      <c r="P40" s="359"/>
      <c r="Q40" s="359"/>
      <c r="R40" s="359"/>
      <c r="S40" s="359"/>
      <c r="T40" s="359"/>
      <c r="U40" s="359"/>
      <c r="V40" s="359"/>
      <c r="W40" s="359"/>
      <c r="X40" s="359"/>
      <c r="Y40" s="359"/>
      <c r="Z40" s="359"/>
      <c r="AA40" s="359"/>
      <c r="AB40" s="359"/>
      <c r="AC40" s="359"/>
      <c r="AD40" s="359"/>
      <c r="AE40" s="359"/>
      <c r="AF40" s="359"/>
      <c r="AG40" s="359"/>
      <c r="AH40" s="359"/>
    </row>
    <row r="41" spans="1:34">
      <c r="A41" s="358"/>
      <c r="B41" s="358"/>
      <c r="C41" s="358"/>
      <c r="D41" s="358"/>
      <c r="E41" s="358"/>
      <c r="F41" s="358"/>
      <c r="G41" s="358"/>
      <c r="H41" s="358"/>
      <c r="I41" s="359"/>
      <c r="J41" s="359"/>
      <c r="K41" s="359"/>
      <c r="L41" s="359"/>
      <c r="M41" s="359"/>
      <c r="N41" s="359"/>
      <c r="O41" s="359"/>
      <c r="P41" s="359"/>
      <c r="Q41" s="359"/>
      <c r="R41" s="359"/>
      <c r="S41" s="359"/>
      <c r="T41" s="359"/>
      <c r="U41" s="359"/>
      <c r="V41" s="359"/>
      <c r="W41" s="359"/>
      <c r="X41" s="359"/>
      <c r="Y41" s="359"/>
      <c r="Z41" s="359"/>
      <c r="AA41" s="359"/>
      <c r="AB41" s="359"/>
      <c r="AC41" s="359"/>
      <c r="AD41" s="359"/>
      <c r="AE41" s="359"/>
      <c r="AF41" s="359"/>
      <c r="AG41" s="359"/>
      <c r="AH41" s="359"/>
    </row>
    <row r="42" spans="1:34">
      <c r="A42" s="358"/>
      <c r="B42" s="358"/>
      <c r="C42" s="358"/>
      <c r="D42" s="358"/>
      <c r="E42" s="358"/>
      <c r="F42" s="358"/>
      <c r="G42" s="358"/>
      <c r="H42" s="358"/>
      <c r="I42" s="359"/>
      <c r="J42" s="359"/>
      <c r="K42" s="359"/>
      <c r="L42" s="359"/>
      <c r="M42" s="359"/>
      <c r="N42" s="359"/>
      <c r="O42" s="359"/>
      <c r="P42" s="359"/>
      <c r="Q42" s="359"/>
      <c r="R42" s="359"/>
      <c r="S42" s="359"/>
      <c r="T42" s="359"/>
      <c r="U42" s="359"/>
      <c r="V42" s="359"/>
      <c r="W42" s="359"/>
      <c r="X42" s="359"/>
      <c r="Y42" s="359"/>
      <c r="Z42" s="359"/>
      <c r="AA42" s="359"/>
      <c r="AB42" s="359"/>
      <c r="AC42" s="359"/>
      <c r="AD42" s="359"/>
      <c r="AE42" s="359"/>
      <c r="AF42" s="359"/>
      <c r="AG42" s="359"/>
      <c r="AH42" s="359"/>
    </row>
    <row r="43" spans="1:34">
      <c r="A43" s="358"/>
      <c r="B43" s="358"/>
      <c r="C43" s="358"/>
      <c r="D43" s="358"/>
      <c r="E43" s="358"/>
      <c r="F43" s="358"/>
      <c r="G43" s="358"/>
      <c r="H43" s="358"/>
      <c r="I43" s="359"/>
      <c r="J43" s="359"/>
      <c r="K43" s="359"/>
      <c r="L43" s="359"/>
      <c r="M43" s="359"/>
      <c r="N43" s="359"/>
      <c r="O43" s="359"/>
      <c r="P43" s="359"/>
      <c r="Q43" s="359"/>
      <c r="R43" s="359"/>
      <c r="S43" s="359"/>
      <c r="T43" s="359"/>
      <c r="U43" s="359"/>
      <c r="V43" s="359"/>
      <c r="W43" s="359"/>
      <c r="X43" s="359"/>
      <c r="Y43" s="359"/>
      <c r="Z43" s="359"/>
      <c r="AA43" s="359"/>
      <c r="AB43" s="359"/>
      <c r="AC43" s="359"/>
      <c r="AD43" s="359"/>
      <c r="AE43" s="359"/>
      <c r="AF43" s="359"/>
      <c r="AG43" s="359"/>
      <c r="AH43" s="359"/>
    </row>
    <row r="44" spans="1:34">
      <c r="A44" s="358"/>
      <c r="B44" s="358"/>
      <c r="C44" s="358"/>
      <c r="D44" s="358"/>
      <c r="E44" s="358"/>
      <c r="F44" s="358"/>
      <c r="G44" s="358"/>
      <c r="H44" s="358"/>
      <c r="I44" s="359"/>
      <c r="J44" s="359"/>
      <c r="K44" s="359"/>
      <c r="L44" s="359"/>
      <c r="M44" s="359"/>
      <c r="N44" s="359"/>
      <c r="O44" s="359"/>
      <c r="P44" s="359"/>
      <c r="Q44" s="359"/>
      <c r="R44" s="359"/>
      <c r="S44" s="359"/>
      <c r="T44" s="359"/>
      <c r="U44" s="359"/>
      <c r="V44" s="359"/>
      <c r="W44" s="359"/>
      <c r="X44" s="359"/>
      <c r="Y44" s="359"/>
      <c r="Z44" s="359"/>
      <c r="AA44" s="359"/>
      <c r="AB44" s="359"/>
      <c r="AC44" s="359"/>
      <c r="AD44" s="359"/>
      <c r="AE44" s="359"/>
      <c r="AF44" s="359"/>
      <c r="AG44" s="359"/>
      <c r="AH44" s="359"/>
    </row>
    <row r="45" spans="1:34">
      <c r="A45" s="358"/>
      <c r="B45" s="358"/>
      <c r="C45" s="358"/>
      <c r="D45" s="358"/>
      <c r="E45" s="358"/>
      <c r="F45" s="358"/>
      <c r="G45" s="358"/>
      <c r="H45" s="358"/>
      <c r="I45" s="359"/>
      <c r="J45" s="359"/>
      <c r="K45" s="359"/>
      <c r="L45" s="359"/>
      <c r="M45" s="359"/>
      <c r="N45" s="359"/>
      <c r="O45" s="359"/>
      <c r="P45" s="359"/>
      <c r="Q45" s="359"/>
      <c r="R45" s="359"/>
      <c r="S45" s="359"/>
      <c r="T45" s="359"/>
      <c r="U45" s="359"/>
      <c r="V45" s="359"/>
      <c r="W45" s="359"/>
      <c r="X45" s="359"/>
      <c r="Y45" s="359"/>
      <c r="Z45" s="359"/>
      <c r="AA45" s="359"/>
      <c r="AB45" s="359"/>
      <c r="AC45" s="359"/>
      <c r="AD45" s="359"/>
      <c r="AE45" s="359"/>
      <c r="AF45" s="359"/>
      <c r="AG45" s="359"/>
      <c r="AH45" s="359"/>
    </row>
    <row r="46" spans="1:34">
      <c r="A46" s="358"/>
      <c r="B46" s="358"/>
      <c r="C46" s="358"/>
      <c r="D46" s="358"/>
      <c r="E46" s="358"/>
      <c r="F46" s="358"/>
      <c r="G46" s="358"/>
      <c r="H46" s="358"/>
      <c r="I46" s="359"/>
      <c r="J46" s="359"/>
      <c r="K46" s="359"/>
      <c r="L46" s="359"/>
      <c r="M46" s="359"/>
      <c r="N46" s="359"/>
      <c r="O46" s="359"/>
      <c r="P46" s="359"/>
      <c r="Q46" s="359"/>
      <c r="R46" s="359"/>
      <c r="S46" s="359"/>
      <c r="T46" s="359"/>
      <c r="U46" s="359"/>
      <c r="V46" s="359"/>
      <c r="W46" s="359"/>
      <c r="X46" s="359"/>
      <c r="Y46" s="359"/>
      <c r="Z46" s="359"/>
      <c r="AA46" s="359"/>
      <c r="AB46" s="359"/>
      <c r="AC46" s="359"/>
      <c r="AD46" s="359"/>
      <c r="AE46" s="359"/>
      <c r="AF46" s="359"/>
      <c r="AG46" s="359"/>
      <c r="AH46" s="359"/>
    </row>
    <row r="47" spans="1:34">
      <c r="A47" s="358"/>
      <c r="B47" s="358"/>
      <c r="C47" s="358"/>
      <c r="D47" s="358"/>
      <c r="E47" s="358"/>
      <c r="F47" s="358"/>
      <c r="G47" s="358"/>
      <c r="H47" s="358"/>
      <c r="I47" s="359"/>
      <c r="J47" s="359"/>
      <c r="K47" s="359"/>
      <c r="L47" s="359"/>
      <c r="M47" s="359"/>
      <c r="N47" s="359"/>
      <c r="O47" s="359"/>
      <c r="P47" s="359"/>
      <c r="Q47" s="359"/>
      <c r="R47" s="359"/>
      <c r="S47" s="359"/>
      <c r="T47" s="359"/>
      <c r="U47" s="359"/>
      <c r="V47" s="359"/>
      <c r="W47" s="359"/>
      <c r="X47" s="359"/>
      <c r="Y47" s="359"/>
      <c r="Z47" s="359"/>
      <c r="AA47" s="359"/>
      <c r="AB47" s="359"/>
      <c r="AC47" s="359"/>
      <c r="AD47" s="359"/>
      <c r="AE47" s="359"/>
      <c r="AF47" s="359"/>
      <c r="AG47" s="359"/>
      <c r="AH47" s="359"/>
    </row>
    <row r="48" spans="1:34">
      <c r="A48" s="358"/>
      <c r="B48" s="358"/>
      <c r="C48" s="358"/>
      <c r="D48" s="358"/>
      <c r="E48" s="358"/>
      <c r="F48" s="358"/>
      <c r="G48" s="358"/>
      <c r="H48" s="358"/>
      <c r="I48" s="359"/>
      <c r="J48" s="359"/>
      <c r="K48" s="359"/>
      <c r="L48" s="359"/>
      <c r="M48" s="359"/>
      <c r="N48" s="359"/>
      <c r="O48" s="359"/>
      <c r="P48" s="359"/>
      <c r="Q48" s="359"/>
      <c r="R48" s="359"/>
      <c r="S48" s="359"/>
      <c r="T48" s="359"/>
      <c r="U48" s="359"/>
      <c r="V48" s="359"/>
      <c r="W48" s="359"/>
      <c r="X48" s="359"/>
      <c r="Y48" s="359"/>
      <c r="Z48" s="359"/>
      <c r="AA48" s="359"/>
      <c r="AB48" s="359"/>
      <c r="AC48" s="359"/>
      <c r="AD48" s="359"/>
      <c r="AE48" s="359"/>
      <c r="AF48" s="359"/>
      <c r="AG48" s="359"/>
      <c r="AH48" s="359"/>
    </row>
    <row r="49" spans="1:34">
      <c r="A49" s="357"/>
      <c r="B49" s="357"/>
      <c r="C49" s="357"/>
      <c r="D49" s="357"/>
      <c r="E49" s="357"/>
      <c r="F49" s="357"/>
      <c r="G49" s="357"/>
      <c r="H49" s="357"/>
      <c r="I49" s="359"/>
      <c r="J49" s="359"/>
      <c r="K49" s="359"/>
      <c r="L49" s="359"/>
      <c r="M49" s="359"/>
      <c r="N49" s="359"/>
      <c r="O49" s="359"/>
      <c r="P49" s="359"/>
      <c r="Q49" s="359"/>
      <c r="R49" s="359"/>
      <c r="S49" s="359"/>
      <c r="T49" s="359"/>
      <c r="U49" s="359"/>
      <c r="V49" s="359"/>
      <c r="W49" s="359"/>
      <c r="X49" s="359"/>
      <c r="Y49" s="359"/>
      <c r="Z49" s="359"/>
      <c r="AA49" s="359"/>
      <c r="AB49" s="359"/>
      <c r="AC49" s="359"/>
      <c r="AD49" s="359"/>
      <c r="AE49" s="359"/>
      <c r="AF49" s="359"/>
      <c r="AG49" s="359"/>
      <c r="AH49" s="359"/>
    </row>
    <row r="50" spans="1:34">
      <c r="A50" s="357"/>
      <c r="B50" s="357"/>
      <c r="C50" s="357"/>
      <c r="D50" s="357"/>
      <c r="E50" s="357"/>
      <c r="F50" s="357"/>
      <c r="G50" s="357"/>
      <c r="H50" s="357"/>
      <c r="I50" s="359"/>
      <c r="J50" s="359"/>
      <c r="K50" s="359"/>
      <c r="L50" s="359"/>
      <c r="M50" s="359"/>
      <c r="N50" s="359"/>
      <c r="O50" s="359"/>
      <c r="P50" s="359"/>
      <c r="Q50" s="359"/>
      <c r="R50" s="359"/>
      <c r="S50" s="359"/>
      <c r="T50" s="359"/>
      <c r="U50" s="359"/>
      <c r="V50" s="359"/>
      <c r="W50" s="359"/>
      <c r="X50" s="359"/>
      <c r="Y50" s="359"/>
      <c r="Z50" s="359"/>
      <c r="AA50" s="359"/>
      <c r="AB50" s="359"/>
      <c r="AC50" s="359"/>
      <c r="AD50" s="359"/>
      <c r="AE50" s="359"/>
      <c r="AF50" s="359"/>
      <c r="AG50" s="359"/>
      <c r="AH50" s="359"/>
    </row>
    <row r="51" spans="1:34">
      <c r="A51" s="357"/>
      <c r="B51" s="357"/>
      <c r="C51" s="357"/>
      <c r="D51" s="357"/>
      <c r="E51" s="357"/>
      <c r="F51" s="357"/>
      <c r="G51" s="357"/>
      <c r="H51" s="357"/>
      <c r="I51" s="359"/>
      <c r="J51" s="359"/>
      <c r="K51" s="359"/>
      <c r="L51" s="359"/>
      <c r="M51" s="359"/>
      <c r="N51" s="359"/>
      <c r="O51" s="359"/>
      <c r="P51" s="359"/>
      <c r="Q51" s="359"/>
      <c r="R51" s="359"/>
      <c r="S51" s="359"/>
      <c r="T51" s="359"/>
      <c r="U51" s="359"/>
      <c r="V51" s="359"/>
      <c r="W51" s="359"/>
      <c r="X51" s="359"/>
      <c r="Y51" s="359"/>
      <c r="Z51" s="359"/>
      <c r="AA51" s="359"/>
      <c r="AB51" s="359"/>
      <c r="AC51" s="359"/>
      <c r="AD51" s="359"/>
      <c r="AE51" s="359"/>
      <c r="AF51" s="359"/>
      <c r="AG51" s="359"/>
      <c r="AH51" s="359"/>
    </row>
    <row r="52" spans="1:34">
      <c r="A52" s="357"/>
      <c r="B52" s="357"/>
      <c r="C52" s="357"/>
      <c r="D52" s="357"/>
      <c r="E52" s="357"/>
      <c r="F52" s="357"/>
      <c r="G52" s="357"/>
      <c r="H52" s="357"/>
      <c r="I52" s="359"/>
      <c r="J52" s="359"/>
      <c r="K52" s="359"/>
      <c r="L52" s="359"/>
      <c r="M52" s="359"/>
      <c r="N52" s="359"/>
      <c r="O52" s="359"/>
      <c r="P52" s="359"/>
      <c r="Q52" s="359"/>
      <c r="R52" s="359"/>
      <c r="S52" s="359"/>
      <c r="T52" s="359"/>
      <c r="U52" s="359"/>
      <c r="V52" s="359"/>
      <c r="W52" s="359"/>
      <c r="X52" s="359"/>
      <c r="Y52" s="359"/>
      <c r="Z52" s="359"/>
      <c r="AA52" s="359"/>
      <c r="AB52" s="359"/>
      <c r="AC52" s="359"/>
      <c r="AD52" s="359"/>
      <c r="AE52" s="359"/>
      <c r="AF52" s="359"/>
      <c r="AG52" s="359"/>
      <c r="AH52" s="359"/>
    </row>
    <row r="53" spans="1:34">
      <c r="A53" s="357"/>
      <c r="B53" s="357"/>
      <c r="C53" s="357"/>
      <c r="D53" s="357"/>
      <c r="E53" s="357"/>
      <c r="F53" s="357"/>
      <c r="G53" s="357"/>
      <c r="H53" s="357"/>
      <c r="I53" s="359"/>
      <c r="J53" s="359"/>
      <c r="K53" s="359"/>
      <c r="L53" s="359"/>
      <c r="M53" s="359"/>
      <c r="N53" s="359"/>
      <c r="O53" s="359"/>
      <c r="P53" s="359"/>
      <c r="Q53" s="359"/>
      <c r="R53" s="359"/>
      <c r="S53" s="359"/>
      <c r="T53" s="359"/>
      <c r="U53" s="359"/>
      <c r="V53" s="359"/>
      <c r="W53" s="359"/>
      <c r="X53" s="359"/>
      <c r="Y53" s="359"/>
      <c r="Z53" s="359"/>
      <c r="AA53" s="359"/>
      <c r="AB53" s="359"/>
      <c r="AC53" s="359"/>
      <c r="AD53" s="359"/>
      <c r="AE53" s="359"/>
      <c r="AF53" s="359"/>
      <c r="AG53" s="359"/>
      <c r="AH53" s="359"/>
    </row>
    <row r="54" spans="1:34">
      <c r="A54" s="357"/>
      <c r="B54" s="357"/>
      <c r="C54" s="357"/>
      <c r="D54" s="357"/>
      <c r="E54" s="357"/>
      <c r="F54" s="357"/>
      <c r="G54" s="357"/>
      <c r="H54" s="357"/>
      <c r="I54" s="359"/>
      <c r="J54" s="359"/>
      <c r="K54" s="359"/>
      <c r="L54" s="359"/>
      <c r="M54" s="359"/>
      <c r="N54" s="359"/>
      <c r="O54" s="359"/>
      <c r="P54" s="359"/>
      <c r="Q54" s="359"/>
      <c r="R54" s="359"/>
      <c r="S54" s="359"/>
      <c r="T54" s="359"/>
      <c r="U54" s="359"/>
      <c r="V54" s="359"/>
      <c r="W54" s="359"/>
      <c r="X54" s="359"/>
      <c r="Y54" s="359"/>
      <c r="Z54" s="359"/>
      <c r="AA54" s="359"/>
      <c r="AB54" s="359"/>
      <c r="AC54" s="359"/>
      <c r="AD54" s="359"/>
      <c r="AE54" s="359"/>
      <c r="AF54" s="359"/>
      <c r="AG54" s="359"/>
      <c r="AH54" s="359"/>
    </row>
    <row r="55" spans="1:34">
      <c r="A55" s="357"/>
      <c r="B55" s="357"/>
      <c r="C55" s="357"/>
      <c r="D55" s="357"/>
      <c r="E55" s="357"/>
      <c r="F55" s="357"/>
      <c r="G55" s="357"/>
      <c r="H55" s="357"/>
      <c r="I55" s="359"/>
      <c r="J55" s="359"/>
      <c r="K55" s="359"/>
      <c r="L55" s="359"/>
      <c r="M55" s="359"/>
      <c r="N55" s="359"/>
      <c r="O55" s="359"/>
      <c r="P55" s="359"/>
      <c r="Q55" s="359"/>
      <c r="R55" s="359"/>
      <c r="S55" s="359"/>
      <c r="T55" s="359"/>
      <c r="U55" s="359"/>
      <c r="V55" s="359"/>
      <c r="W55" s="359"/>
      <c r="X55" s="359"/>
      <c r="Y55" s="359"/>
      <c r="Z55" s="359"/>
      <c r="AA55" s="359"/>
      <c r="AB55" s="359"/>
      <c r="AC55" s="359"/>
      <c r="AD55" s="359"/>
      <c r="AE55" s="359"/>
      <c r="AF55" s="359"/>
      <c r="AG55" s="359"/>
      <c r="AH55" s="359"/>
    </row>
    <row r="56" spans="1:34">
      <c r="A56" s="357"/>
      <c r="B56" s="357"/>
      <c r="C56" s="357"/>
      <c r="D56" s="357"/>
      <c r="E56" s="357"/>
      <c r="F56" s="357"/>
      <c r="G56" s="357"/>
      <c r="H56" s="357"/>
      <c r="I56" s="359"/>
      <c r="J56" s="359"/>
      <c r="K56" s="359"/>
      <c r="L56" s="359"/>
      <c r="M56" s="359"/>
      <c r="N56" s="359"/>
      <c r="O56" s="359"/>
      <c r="P56" s="359"/>
      <c r="Q56" s="359"/>
      <c r="R56" s="359"/>
      <c r="S56" s="359"/>
      <c r="T56" s="359"/>
      <c r="U56" s="359"/>
      <c r="V56" s="359"/>
      <c r="W56" s="359"/>
      <c r="X56" s="359"/>
      <c r="Y56" s="359"/>
      <c r="Z56" s="359"/>
      <c r="AA56" s="359"/>
      <c r="AB56" s="359"/>
      <c r="AC56" s="359"/>
      <c r="AD56" s="359"/>
      <c r="AE56" s="359"/>
      <c r="AF56" s="359"/>
      <c r="AG56" s="359"/>
      <c r="AH56" s="359"/>
    </row>
    <row r="57" spans="1:34">
      <c r="A57" s="359"/>
      <c r="B57" s="359"/>
      <c r="C57" s="359"/>
      <c r="D57" s="359"/>
      <c r="E57" s="359"/>
      <c r="F57" s="359"/>
      <c r="G57" s="359"/>
      <c r="H57" s="359"/>
      <c r="I57" s="359"/>
      <c r="J57" s="359"/>
      <c r="K57" s="359"/>
      <c r="L57" s="359"/>
      <c r="M57" s="359"/>
      <c r="N57" s="359"/>
      <c r="O57" s="359"/>
      <c r="P57" s="359"/>
      <c r="Q57" s="359"/>
      <c r="R57" s="359"/>
      <c r="S57" s="359"/>
      <c r="T57" s="359"/>
      <c r="U57" s="359"/>
      <c r="V57" s="359"/>
      <c r="W57" s="359"/>
      <c r="X57" s="359"/>
      <c r="Y57" s="359"/>
      <c r="Z57" s="359"/>
      <c r="AA57" s="359"/>
      <c r="AB57" s="359"/>
      <c r="AC57" s="359"/>
      <c r="AD57" s="359"/>
      <c r="AE57" s="359"/>
      <c r="AF57" s="359"/>
      <c r="AG57" s="359"/>
      <c r="AH57" s="359"/>
    </row>
    <row r="58" spans="1:34">
      <c r="A58" s="359"/>
      <c r="B58" s="359"/>
      <c r="C58" s="359"/>
      <c r="D58" s="359"/>
      <c r="E58" s="359"/>
      <c r="F58" s="359"/>
      <c r="G58" s="359"/>
      <c r="H58" s="359"/>
      <c r="I58" s="359"/>
      <c r="J58" s="359"/>
      <c r="K58" s="359"/>
      <c r="L58" s="359"/>
      <c r="M58" s="359"/>
      <c r="N58" s="359"/>
      <c r="O58" s="359"/>
      <c r="P58" s="359"/>
      <c r="Q58" s="359"/>
      <c r="R58" s="359"/>
      <c r="S58" s="359"/>
      <c r="T58" s="359"/>
      <c r="U58" s="359"/>
      <c r="V58" s="359"/>
      <c r="W58" s="359"/>
      <c r="X58" s="359"/>
      <c r="Y58" s="359"/>
      <c r="Z58" s="359"/>
      <c r="AA58" s="359"/>
      <c r="AB58" s="359"/>
      <c r="AC58" s="359"/>
      <c r="AD58" s="359"/>
      <c r="AE58" s="359"/>
      <c r="AF58" s="359"/>
      <c r="AG58" s="359"/>
      <c r="AH58" s="359"/>
    </row>
    <row r="59" spans="1:34">
      <c r="A59" s="359"/>
      <c r="B59" s="359"/>
      <c r="C59" s="359"/>
      <c r="D59" s="359"/>
      <c r="E59" s="359"/>
      <c r="F59" s="359"/>
      <c r="G59" s="359"/>
      <c r="H59" s="359"/>
      <c r="I59" s="359"/>
      <c r="J59" s="359"/>
      <c r="K59" s="359"/>
      <c r="L59" s="359"/>
      <c r="M59" s="359"/>
      <c r="N59" s="359"/>
      <c r="O59" s="359"/>
      <c r="P59" s="359"/>
      <c r="Q59" s="359"/>
      <c r="R59" s="359"/>
      <c r="S59" s="359"/>
      <c r="T59" s="359"/>
      <c r="U59" s="359"/>
      <c r="V59" s="359"/>
      <c r="W59" s="359"/>
      <c r="X59" s="359"/>
      <c r="Y59" s="359"/>
      <c r="Z59" s="359"/>
      <c r="AA59" s="359"/>
      <c r="AB59" s="359"/>
      <c r="AC59" s="359"/>
      <c r="AD59" s="359"/>
      <c r="AE59" s="359"/>
      <c r="AF59" s="359"/>
      <c r="AG59" s="359"/>
      <c r="AH59" s="359"/>
    </row>
    <row r="60" spans="1:34">
      <c r="A60" s="359"/>
      <c r="B60" s="359"/>
      <c r="C60" s="359"/>
      <c r="D60" s="359"/>
      <c r="E60" s="359"/>
      <c r="F60" s="359"/>
      <c r="G60" s="359"/>
      <c r="H60" s="359"/>
      <c r="I60" s="359"/>
      <c r="J60" s="359"/>
      <c r="K60" s="359"/>
      <c r="L60" s="359"/>
      <c r="M60" s="359"/>
      <c r="N60" s="359"/>
      <c r="O60" s="359"/>
      <c r="P60" s="359"/>
      <c r="Q60" s="359"/>
      <c r="R60" s="359"/>
      <c r="S60" s="359"/>
      <c r="T60" s="359"/>
      <c r="U60" s="359"/>
      <c r="V60" s="359"/>
      <c r="W60" s="359"/>
      <c r="X60" s="359"/>
      <c r="Y60" s="359"/>
      <c r="Z60" s="359"/>
      <c r="AA60" s="359"/>
      <c r="AB60" s="359"/>
      <c r="AC60" s="359"/>
      <c r="AD60" s="359"/>
      <c r="AE60" s="359"/>
      <c r="AF60" s="359"/>
      <c r="AG60" s="359"/>
      <c r="AH60" s="359"/>
    </row>
    <row r="61" spans="1:34">
      <c r="A61" s="359"/>
      <c r="B61" s="359"/>
      <c r="C61" s="359"/>
      <c r="D61" s="359"/>
      <c r="E61" s="359"/>
      <c r="F61" s="359"/>
      <c r="G61" s="359"/>
      <c r="H61" s="359"/>
      <c r="I61" s="359"/>
      <c r="J61" s="359"/>
      <c r="K61" s="359"/>
      <c r="L61" s="359"/>
      <c r="M61" s="359"/>
      <c r="N61" s="359"/>
      <c r="O61" s="359"/>
      <c r="P61" s="359"/>
      <c r="Q61" s="359"/>
      <c r="R61" s="359"/>
      <c r="S61" s="359"/>
      <c r="T61" s="359"/>
      <c r="U61" s="359"/>
      <c r="V61" s="359"/>
      <c r="W61" s="359"/>
      <c r="X61" s="359"/>
      <c r="Y61" s="359"/>
      <c r="Z61" s="359"/>
      <c r="AA61" s="359"/>
      <c r="AB61" s="359"/>
      <c r="AC61" s="359"/>
      <c r="AD61" s="359"/>
      <c r="AE61" s="359"/>
      <c r="AF61" s="359"/>
      <c r="AG61" s="359"/>
      <c r="AH61" s="359"/>
    </row>
    <row r="62" spans="1:34">
      <c r="A62" s="359"/>
      <c r="B62" s="359"/>
      <c r="C62" s="359"/>
      <c r="D62" s="359"/>
      <c r="E62" s="359"/>
      <c r="F62" s="359"/>
      <c r="G62" s="359"/>
      <c r="H62" s="359"/>
      <c r="I62" s="359"/>
      <c r="J62" s="359"/>
      <c r="K62" s="359"/>
      <c r="L62" s="359"/>
      <c r="M62" s="359"/>
      <c r="N62" s="359"/>
      <c r="O62" s="359"/>
      <c r="P62" s="359"/>
      <c r="Q62" s="359"/>
      <c r="R62" s="359"/>
      <c r="S62" s="359"/>
      <c r="T62" s="359"/>
      <c r="U62" s="359"/>
      <c r="V62" s="359"/>
      <c r="W62" s="359"/>
      <c r="X62" s="359"/>
      <c r="Y62" s="359"/>
      <c r="Z62" s="359"/>
      <c r="AA62" s="359"/>
      <c r="AB62" s="359"/>
      <c r="AC62" s="359"/>
      <c r="AD62" s="359"/>
      <c r="AE62" s="359"/>
      <c r="AF62" s="359"/>
      <c r="AG62" s="359"/>
      <c r="AH62" s="359"/>
    </row>
    <row r="63" spans="1:34">
      <c r="A63" s="359"/>
      <c r="B63" s="359"/>
      <c r="C63" s="359"/>
      <c r="D63" s="359"/>
      <c r="E63" s="359"/>
      <c r="F63" s="359"/>
      <c r="G63" s="359"/>
      <c r="H63" s="359"/>
      <c r="I63" s="359"/>
      <c r="J63" s="359"/>
      <c r="K63" s="359"/>
      <c r="L63" s="359"/>
      <c r="M63" s="359"/>
      <c r="N63" s="359"/>
      <c r="O63" s="359"/>
      <c r="P63" s="359"/>
      <c r="Q63" s="359"/>
      <c r="R63" s="359"/>
      <c r="S63" s="359"/>
      <c r="T63" s="359"/>
      <c r="U63" s="359"/>
      <c r="V63" s="359"/>
      <c r="W63" s="359"/>
      <c r="X63" s="359"/>
      <c r="Y63" s="359"/>
      <c r="Z63" s="359"/>
      <c r="AA63" s="359"/>
      <c r="AB63" s="359"/>
      <c r="AC63" s="359"/>
      <c r="AD63" s="359"/>
      <c r="AE63" s="359"/>
      <c r="AF63" s="359"/>
      <c r="AG63" s="359"/>
      <c r="AH63" s="359"/>
    </row>
    <row r="64" spans="1:34">
      <c r="A64" s="359"/>
      <c r="B64" s="359"/>
      <c r="C64" s="359"/>
      <c r="D64" s="359"/>
      <c r="E64" s="359"/>
      <c r="F64" s="359"/>
      <c r="G64" s="359"/>
      <c r="H64" s="359"/>
      <c r="I64" s="359"/>
      <c r="J64" s="359"/>
      <c r="K64" s="359"/>
      <c r="L64" s="359"/>
      <c r="M64" s="359"/>
      <c r="N64" s="359"/>
      <c r="O64" s="359"/>
      <c r="P64" s="359"/>
      <c r="Q64" s="359"/>
      <c r="R64" s="359"/>
      <c r="S64" s="359"/>
      <c r="T64" s="359"/>
      <c r="U64" s="359"/>
      <c r="V64" s="359"/>
      <c r="W64" s="359"/>
      <c r="X64" s="359"/>
      <c r="Y64" s="359"/>
      <c r="Z64" s="359"/>
      <c r="AA64" s="359"/>
      <c r="AB64" s="359"/>
      <c r="AC64" s="359"/>
      <c r="AD64" s="359"/>
      <c r="AE64" s="359"/>
      <c r="AF64" s="359"/>
      <c r="AG64" s="359"/>
      <c r="AH64" s="359"/>
    </row>
    <row r="65" spans="1:34">
      <c r="A65" s="359"/>
      <c r="B65" s="359"/>
      <c r="C65" s="359"/>
      <c r="D65" s="359"/>
      <c r="E65" s="359"/>
      <c r="F65" s="359"/>
      <c r="G65" s="359"/>
      <c r="H65" s="359"/>
      <c r="I65" s="359"/>
      <c r="J65" s="359"/>
      <c r="K65" s="359"/>
      <c r="L65" s="359"/>
      <c r="M65" s="359"/>
      <c r="N65" s="359"/>
      <c r="O65" s="359"/>
      <c r="P65" s="359"/>
      <c r="Q65" s="359"/>
      <c r="R65" s="359"/>
      <c r="S65" s="359"/>
      <c r="T65" s="359"/>
      <c r="U65" s="359"/>
      <c r="V65" s="359"/>
      <c r="W65" s="359"/>
      <c r="X65" s="359"/>
      <c r="Y65" s="359"/>
      <c r="Z65" s="359"/>
      <c r="AA65" s="359"/>
      <c r="AB65" s="359"/>
      <c r="AC65" s="359"/>
      <c r="AD65" s="359"/>
      <c r="AE65" s="359"/>
      <c r="AF65" s="359"/>
      <c r="AG65" s="359"/>
      <c r="AH65" s="359"/>
    </row>
    <row r="66" spans="1:34">
      <c r="A66" s="359"/>
      <c r="B66" s="359"/>
      <c r="C66" s="359"/>
      <c r="D66" s="359"/>
      <c r="E66" s="359"/>
      <c r="F66" s="359"/>
      <c r="G66" s="359"/>
      <c r="H66" s="359"/>
      <c r="I66" s="359"/>
      <c r="J66" s="359"/>
      <c r="K66" s="359"/>
      <c r="L66" s="359"/>
      <c r="M66" s="359"/>
      <c r="N66" s="359"/>
      <c r="O66" s="359"/>
      <c r="P66" s="359"/>
      <c r="Q66" s="359"/>
      <c r="R66" s="359"/>
      <c r="S66" s="359"/>
      <c r="T66" s="359"/>
      <c r="U66" s="359"/>
      <c r="V66" s="359"/>
      <c r="W66" s="359"/>
      <c r="X66" s="359"/>
      <c r="Y66" s="359"/>
      <c r="Z66" s="359"/>
      <c r="AA66" s="359"/>
      <c r="AB66" s="359"/>
      <c r="AC66" s="359"/>
      <c r="AD66" s="359"/>
      <c r="AE66" s="359"/>
      <c r="AF66" s="359"/>
      <c r="AG66" s="359"/>
      <c r="AH66" s="359"/>
    </row>
    <row r="67" spans="1:34">
      <c r="A67" s="359"/>
      <c r="B67" s="359"/>
      <c r="C67" s="359"/>
      <c r="D67" s="359"/>
      <c r="E67" s="359"/>
      <c r="F67" s="359"/>
      <c r="G67" s="359"/>
      <c r="H67" s="359"/>
      <c r="I67" s="359"/>
      <c r="J67" s="359"/>
      <c r="K67" s="359"/>
      <c r="L67" s="359"/>
      <c r="M67" s="359"/>
      <c r="N67" s="359"/>
      <c r="O67" s="359"/>
      <c r="P67" s="359"/>
      <c r="Q67" s="359"/>
      <c r="R67" s="359"/>
      <c r="S67" s="359"/>
      <c r="T67" s="359"/>
      <c r="U67" s="359"/>
      <c r="V67" s="359"/>
      <c r="W67" s="359"/>
      <c r="X67" s="359"/>
      <c r="Y67" s="359"/>
      <c r="Z67" s="359"/>
      <c r="AA67" s="359"/>
      <c r="AB67" s="359"/>
      <c r="AC67" s="359"/>
      <c r="AD67" s="359"/>
      <c r="AE67" s="359"/>
      <c r="AF67" s="359"/>
      <c r="AG67" s="359"/>
      <c r="AH67" s="359"/>
    </row>
    <row r="68" spans="1:34">
      <c r="A68" s="359"/>
      <c r="B68" s="359"/>
      <c r="C68" s="359"/>
      <c r="D68" s="359"/>
      <c r="E68" s="359"/>
      <c r="F68" s="359"/>
      <c r="G68" s="359"/>
      <c r="H68" s="359"/>
      <c r="I68" s="359"/>
      <c r="J68" s="359"/>
      <c r="K68" s="359"/>
      <c r="L68" s="359"/>
      <c r="M68" s="359"/>
      <c r="N68" s="359"/>
      <c r="O68" s="359"/>
      <c r="P68" s="359"/>
      <c r="Q68" s="359"/>
      <c r="R68" s="359"/>
      <c r="S68" s="359"/>
      <c r="T68" s="359"/>
      <c r="U68" s="359"/>
      <c r="V68" s="359"/>
      <c r="W68" s="359"/>
      <c r="X68" s="359"/>
      <c r="Y68" s="359"/>
      <c r="Z68" s="359"/>
      <c r="AA68" s="359"/>
      <c r="AB68" s="359"/>
      <c r="AC68" s="359"/>
      <c r="AD68" s="359"/>
      <c r="AE68" s="359"/>
      <c r="AF68" s="359"/>
      <c r="AG68" s="359"/>
      <c r="AH68" s="359"/>
    </row>
    <row r="69" spans="1:34">
      <c r="A69" s="359"/>
      <c r="B69" s="359"/>
      <c r="C69" s="359"/>
      <c r="D69" s="359"/>
      <c r="E69" s="359"/>
      <c r="F69" s="359"/>
      <c r="G69" s="359"/>
      <c r="H69" s="359"/>
      <c r="I69" s="359"/>
      <c r="J69" s="359"/>
      <c r="K69" s="359"/>
      <c r="L69" s="359"/>
      <c r="M69" s="359"/>
      <c r="N69" s="359"/>
      <c r="O69" s="359"/>
      <c r="P69" s="359"/>
      <c r="Q69" s="359"/>
      <c r="R69" s="359"/>
      <c r="S69" s="359"/>
      <c r="T69" s="359"/>
      <c r="U69" s="359"/>
      <c r="V69" s="359"/>
      <c r="W69" s="359"/>
      <c r="X69" s="359"/>
      <c r="Y69" s="359"/>
      <c r="Z69" s="359"/>
      <c r="AA69" s="359"/>
      <c r="AB69" s="359"/>
      <c r="AC69" s="359"/>
      <c r="AD69" s="359"/>
      <c r="AE69" s="359"/>
      <c r="AF69" s="359"/>
      <c r="AG69" s="359"/>
      <c r="AH69" s="359"/>
    </row>
    <row r="70" spans="1:34">
      <c r="A70" s="359"/>
      <c r="B70" s="359"/>
      <c r="C70" s="359"/>
      <c r="D70" s="359"/>
      <c r="E70" s="359"/>
      <c r="F70" s="359"/>
      <c r="G70" s="359"/>
      <c r="H70" s="359"/>
      <c r="I70" s="359"/>
      <c r="J70" s="359"/>
      <c r="K70" s="359"/>
      <c r="L70" s="359"/>
      <c r="M70" s="359"/>
      <c r="N70" s="359"/>
      <c r="O70" s="359"/>
      <c r="P70" s="359"/>
      <c r="Q70" s="359"/>
      <c r="R70" s="359"/>
      <c r="S70" s="359"/>
      <c r="T70" s="359"/>
      <c r="U70" s="359"/>
      <c r="V70" s="359"/>
      <c r="W70" s="359"/>
      <c r="X70" s="359"/>
      <c r="Y70" s="359"/>
      <c r="Z70" s="359"/>
      <c r="AA70" s="359"/>
      <c r="AB70" s="359"/>
      <c r="AC70" s="359"/>
      <c r="AD70" s="359"/>
      <c r="AE70" s="359"/>
      <c r="AF70" s="359"/>
      <c r="AG70" s="359"/>
      <c r="AH70" s="359"/>
    </row>
    <row r="71" spans="1:34">
      <c r="A71" s="359"/>
      <c r="B71" s="359"/>
      <c r="C71" s="359"/>
      <c r="D71" s="359"/>
      <c r="E71" s="359"/>
      <c r="F71" s="359"/>
      <c r="G71" s="359"/>
      <c r="H71" s="359"/>
      <c r="I71" s="359"/>
      <c r="J71" s="359"/>
      <c r="K71" s="359"/>
      <c r="L71" s="359"/>
      <c r="M71" s="359"/>
      <c r="N71" s="359"/>
      <c r="O71" s="359"/>
      <c r="P71" s="359"/>
      <c r="Q71" s="359"/>
      <c r="R71" s="359"/>
      <c r="S71" s="359"/>
      <c r="T71" s="359"/>
      <c r="U71" s="359"/>
      <c r="V71" s="359"/>
      <c r="W71" s="359"/>
      <c r="X71" s="359"/>
      <c r="Y71" s="359"/>
      <c r="Z71" s="359"/>
      <c r="AA71" s="359"/>
      <c r="AB71" s="359"/>
      <c r="AC71" s="359"/>
      <c r="AD71" s="359"/>
      <c r="AE71" s="359"/>
      <c r="AF71" s="359"/>
      <c r="AG71" s="359"/>
      <c r="AH71" s="359"/>
    </row>
    <row r="72" spans="1:34">
      <c r="A72" s="359"/>
      <c r="B72" s="359"/>
      <c r="C72" s="359"/>
      <c r="D72" s="359"/>
      <c r="E72" s="359"/>
      <c r="F72" s="359"/>
      <c r="G72" s="359"/>
      <c r="H72" s="359"/>
      <c r="I72" s="359"/>
      <c r="J72" s="359"/>
      <c r="K72" s="359"/>
      <c r="L72" s="359"/>
      <c r="M72" s="359"/>
      <c r="N72" s="359"/>
      <c r="O72" s="359"/>
      <c r="P72" s="359"/>
      <c r="Q72" s="359"/>
      <c r="R72" s="359"/>
      <c r="S72" s="359"/>
      <c r="T72" s="359"/>
      <c r="U72" s="359"/>
      <c r="V72" s="359"/>
      <c r="W72" s="359"/>
      <c r="X72" s="359"/>
      <c r="Y72" s="359"/>
      <c r="Z72" s="359"/>
      <c r="AA72" s="359"/>
      <c r="AB72" s="359"/>
      <c r="AC72" s="359"/>
      <c r="AD72" s="359"/>
      <c r="AE72" s="359"/>
      <c r="AF72" s="359"/>
      <c r="AG72" s="359"/>
      <c r="AH72" s="359"/>
    </row>
    <row r="73" spans="1:34">
      <c r="A73" s="359"/>
      <c r="B73" s="359"/>
      <c r="C73" s="359"/>
      <c r="D73" s="359"/>
      <c r="E73" s="359"/>
      <c r="F73" s="359"/>
      <c r="G73" s="359"/>
      <c r="H73" s="359"/>
      <c r="I73" s="359"/>
      <c r="J73" s="359"/>
      <c r="K73" s="359"/>
      <c r="L73" s="359"/>
      <c r="M73" s="359"/>
      <c r="N73" s="359"/>
      <c r="O73" s="359"/>
      <c r="P73" s="359"/>
      <c r="Q73" s="359"/>
      <c r="R73" s="359"/>
      <c r="S73" s="359"/>
      <c r="T73" s="359"/>
      <c r="U73" s="359"/>
      <c r="V73" s="359"/>
      <c r="W73" s="359"/>
      <c r="X73" s="359"/>
      <c r="Y73" s="359"/>
      <c r="Z73" s="359"/>
      <c r="AA73" s="359"/>
      <c r="AB73" s="359"/>
      <c r="AC73" s="359"/>
      <c r="AD73" s="359"/>
      <c r="AE73" s="359"/>
      <c r="AF73" s="359"/>
      <c r="AG73" s="359"/>
      <c r="AH73" s="359"/>
    </row>
    <row r="74" spans="1:34">
      <c r="A74" s="359"/>
      <c r="B74" s="359"/>
      <c r="C74" s="359"/>
      <c r="D74" s="359"/>
      <c r="E74" s="359"/>
      <c r="F74" s="359"/>
      <c r="G74" s="359"/>
      <c r="H74" s="359"/>
      <c r="I74" s="359"/>
      <c r="J74" s="359"/>
      <c r="K74" s="359"/>
      <c r="L74" s="359"/>
      <c r="M74" s="359"/>
      <c r="N74" s="359"/>
      <c r="O74" s="359"/>
      <c r="P74" s="359"/>
      <c r="Q74" s="359"/>
      <c r="R74" s="359"/>
      <c r="S74" s="359"/>
      <c r="T74" s="359"/>
      <c r="U74" s="359"/>
      <c r="V74" s="359"/>
      <c r="W74" s="359"/>
      <c r="X74" s="359"/>
      <c r="Y74" s="359"/>
      <c r="Z74" s="359"/>
      <c r="AA74" s="359"/>
      <c r="AB74" s="359"/>
      <c r="AC74" s="359"/>
      <c r="AD74" s="359"/>
      <c r="AE74" s="359"/>
      <c r="AF74" s="359"/>
      <c r="AG74" s="359"/>
      <c r="AH74" s="359"/>
    </row>
    <row r="75" spans="1:34">
      <c r="A75" s="359"/>
      <c r="B75" s="359"/>
      <c r="C75" s="359"/>
      <c r="D75" s="359"/>
      <c r="E75" s="359"/>
      <c r="F75" s="359"/>
      <c r="G75" s="359"/>
      <c r="H75" s="359"/>
      <c r="I75" s="359"/>
      <c r="J75" s="359"/>
      <c r="K75" s="359"/>
      <c r="L75" s="359"/>
      <c r="M75" s="359"/>
      <c r="N75" s="359"/>
      <c r="O75" s="359"/>
      <c r="P75" s="359"/>
      <c r="Q75" s="359"/>
      <c r="R75" s="359"/>
      <c r="S75" s="359"/>
      <c r="T75" s="359"/>
      <c r="U75" s="359"/>
      <c r="V75" s="359"/>
      <c r="W75" s="359"/>
      <c r="X75" s="359"/>
      <c r="Y75" s="359"/>
      <c r="Z75" s="359"/>
      <c r="AA75" s="359"/>
      <c r="AB75" s="359"/>
      <c r="AC75" s="359"/>
      <c r="AD75" s="359"/>
      <c r="AE75" s="359"/>
      <c r="AF75" s="359"/>
      <c r="AG75" s="359"/>
      <c r="AH75" s="359"/>
    </row>
    <row r="76" spans="1:34">
      <c r="A76" s="359"/>
      <c r="B76" s="359"/>
      <c r="C76" s="359"/>
      <c r="D76" s="359"/>
      <c r="E76" s="359"/>
      <c r="F76" s="359"/>
      <c r="G76" s="359"/>
      <c r="H76" s="359"/>
      <c r="I76" s="359"/>
      <c r="J76" s="359"/>
      <c r="K76" s="359"/>
      <c r="L76" s="359"/>
      <c r="M76" s="359"/>
      <c r="N76" s="359"/>
      <c r="O76" s="359"/>
      <c r="P76" s="359"/>
      <c r="Q76" s="359"/>
      <c r="R76" s="359"/>
      <c r="S76" s="359"/>
      <c r="T76" s="359"/>
      <c r="U76" s="359"/>
      <c r="V76" s="359"/>
      <c r="W76" s="359"/>
      <c r="X76" s="359"/>
      <c r="Y76" s="359"/>
      <c r="Z76" s="359"/>
      <c r="AA76" s="359"/>
      <c r="AB76" s="359"/>
      <c r="AC76" s="359"/>
      <c r="AD76" s="359"/>
      <c r="AE76" s="359"/>
      <c r="AF76" s="359"/>
      <c r="AG76" s="359"/>
      <c r="AH76" s="359"/>
    </row>
    <row r="77" spans="1:34">
      <c r="A77" s="359"/>
      <c r="B77" s="359"/>
      <c r="C77" s="359"/>
      <c r="D77" s="359"/>
      <c r="E77" s="359"/>
      <c r="F77" s="359"/>
      <c r="G77" s="359"/>
      <c r="H77" s="359"/>
      <c r="I77" s="359"/>
      <c r="J77" s="359"/>
      <c r="K77" s="359"/>
      <c r="L77" s="359"/>
      <c r="M77" s="359"/>
      <c r="N77" s="359"/>
      <c r="O77" s="359"/>
      <c r="P77" s="359"/>
      <c r="Q77" s="359"/>
      <c r="R77" s="359"/>
      <c r="S77" s="359"/>
      <c r="T77" s="359"/>
      <c r="U77" s="359"/>
      <c r="V77" s="359"/>
      <c r="W77" s="359"/>
      <c r="X77" s="359"/>
      <c r="Y77" s="359"/>
      <c r="Z77" s="359"/>
      <c r="AA77" s="359"/>
      <c r="AB77" s="359"/>
      <c r="AC77" s="359"/>
      <c r="AD77" s="359"/>
      <c r="AE77" s="359"/>
      <c r="AF77" s="359"/>
      <c r="AG77" s="359"/>
      <c r="AH77" s="359"/>
    </row>
    <row r="78" spans="1:34">
      <c r="A78" s="359"/>
      <c r="B78" s="359"/>
      <c r="C78" s="359"/>
      <c r="D78" s="359"/>
      <c r="E78" s="359"/>
      <c r="F78" s="359"/>
      <c r="G78" s="359"/>
      <c r="H78" s="359"/>
      <c r="I78" s="359"/>
      <c r="J78" s="359"/>
      <c r="K78" s="359"/>
      <c r="L78" s="359"/>
      <c r="M78" s="359"/>
      <c r="N78" s="359"/>
      <c r="O78" s="359"/>
      <c r="P78" s="359"/>
      <c r="Q78" s="359"/>
      <c r="R78" s="359"/>
      <c r="S78" s="359"/>
      <c r="T78" s="359"/>
      <c r="U78" s="359"/>
      <c r="V78" s="359"/>
      <c r="W78" s="359"/>
      <c r="X78" s="359"/>
      <c r="Y78" s="359"/>
      <c r="Z78" s="359"/>
      <c r="AA78" s="359"/>
      <c r="AB78" s="359"/>
      <c r="AC78" s="359"/>
      <c r="AD78" s="359"/>
      <c r="AE78" s="359"/>
      <c r="AF78" s="359"/>
      <c r="AG78" s="359"/>
      <c r="AH78" s="359"/>
    </row>
    <row r="79" spans="1:34">
      <c r="A79" s="359"/>
      <c r="B79" s="359"/>
      <c r="C79" s="359"/>
      <c r="D79" s="359"/>
      <c r="E79" s="359"/>
      <c r="F79" s="359"/>
      <c r="G79" s="359"/>
      <c r="H79" s="359"/>
      <c r="I79" s="359"/>
      <c r="J79" s="359"/>
      <c r="K79" s="359"/>
      <c r="L79" s="359"/>
      <c r="M79" s="359"/>
      <c r="N79" s="359"/>
      <c r="O79" s="359"/>
      <c r="P79" s="359"/>
      <c r="Q79" s="359"/>
      <c r="R79" s="359"/>
      <c r="S79" s="359"/>
      <c r="T79" s="359"/>
      <c r="U79" s="359"/>
      <c r="V79" s="359"/>
      <c r="W79" s="359"/>
      <c r="X79" s="359"/>
      <c r="Y79" s="359"/>
      <c r="Z79" s="359"/>
      <c r="AA79" s="359"/>
      <c r="AB79" s="359"/>
      <c r="AC79" s="359"/>
      <c r="AD79" s="359"/>
      <c r="AE79" s="359"/>
      <c r="AF79" s="359"/>
      <c r="AG79" s="359"/>
      <c r="AH79" s="359"/>
    </row>
    <row r="80" spans="1:34">
      <c r="A80" s="359"/>
      <c r="B80" s="359"/>
      <c r="C80" s="359"/>
      <c r="D80" s="359"/>
      <c r="E80" s="359"/>
      <c r="F80" s="359"/>
      <c r="G80" s="359"/>
      <c r="H80" s="359"/>
      <c r="I80" s="359"/>
      <c r="J80" s="359"/>
      <c r="K80" s="359"/>
      <c r="L80" s="359"/>
      <c r="M80" s="359"/>
      <c r="N80" s="359"/>
      <c r="O80" s="359"/>
      <c r="P80" s="359"/>
      <c r="Q80" s="359"/>
      <c r="R80" s="359"/>
      <c r="S80" s="359"/>
      <c r="T80" s="359"/>
      <c r="U80" s="359"/>
      <c r="V80" s="359"/>
      <c r="W80" s="359"/>
      <c r="X80" s="359"/>
      <c r="Y80" s="359"/>
      <c r="Z80" s="359"/>
      <c r="AA80" s="359"/>
      <c r="AB80" s="359"/>
      <c r="AC80" s="359"/>
      <c r="AD80" s="359"/>
      <c r="AE80" s="359"/>
      <c r="AF80" s="359"/>
      <c r="AG80" s="359"/>
      <c r="AH80" s="359"/>
    </row>
    <row r="81" spans="1:34">
      <c r="A81" s="359"/>
      <c r="B81" s="359"/>
      <c r="C81" s="359"/>
      <c r="D81" s="359"/>
      <c r="E81" s="359"/>
      <c r="F81" s="359"/>
      <c r="G81" s="359"/>
      <c r="H81" s="359"/>
      <c r="I81" s="359"/>
      <c r="J81" s="359"/>
      <c r="K81" s="359"/>
      <c r="L81" s="359"/>
      <c r="M81" s="359"/>
      <c r="N81" s="359"/>
      <c r="O81" s="359"/>
      <c r="P81" s="359"/>
      <c r="Q81" s="359"/>
      <c r="R81" s="359"/>
      <c r="S81" s="359"/>
      <c r="T81" s="359"/>
      <c r="U81" s="359"/>
      <c r="V81" s="359"/>
      <c r="W81" s="359"/>
      <c r="X81" s="359"/>
      <c r="Y81" s="359"/>
      <c r="Z81" s="359"/>
      <c r="AA81" s="359"/>
      <c r="AB81" s="359"/>
      <c r="AC81" s="359"/>
      <c r="AD81" s="359"/>
      <c r="AE81" s="359"/>
      <c r="AF81" s="359"/>
      <c r="AG81" s="359"/>
      <c r="AH81" s="359"/>
    </row>
    <row r="82" spans="1:34">
      <c r="A82" s="359"/>
      <c r="B82" s="359"/>
      <c r="C82" s="359"/>
      <c r="D82" s="359"/>
      <c r="E82" s="359"/>
      <c r="F82" s="359"/>
      <c r="G82" s="359"/>
      <c r="H82" s="359"/>
      <c r="I82" s="359"/>
      <c r="J82" s="359"/>
      <c r="K82" s="359"/>
      <c r="L82" s="359"/>
      <c r="M82" s="359"/>
      <c r="N82" s="359"/>
      <c r="O82" s="359"/>
      <c r="P82" s="359"/>
      <c r="Q82" s="359"/>
      <c r="R82" s="359"/>
      <c r="S82" s="359"/>
      <c r="T82" s="359"/>
      <c r="U82" s="359"/>
      <c r="V82" s="359"/>
      <c r="W82" s="359"/>
      <c r="X82" s="359"/>
      <c r="Y82" s="359"/>
      <c r="Z82" s="359"/>
      <c r="AA82" s="359"/>
      <c r="AB82" s="359"/>
      <c r="AC82" s="359"/>
      <c r="AD82" s="359"/>
      <c r="AE82" s="359"/>
      <c r="AF82" s="359"/>
      <c r="AG82" s="359"/>
      <c r="AH82" s="359"/>
    </row>
    <row r="83" spans="1:34">
      <c r="A83" s="359"/>
      <c r="B83" s="359"/>
      <c r="C83" s="359"/>
      <c r="D83" s="359"/>
      <c r="E83" s="359"/>
      <c r="F83" s="359"/>
      <c r="G83" s="359"/>
      <c r="H83" s="359"/>
      <c r="I83" s="359"/>
      <c r="J83" s="359"/>
      <c r="K83" s="359"/>
      <c r="L83" s="359"/>
      <c r="M83" s="359"/>
      <c r="N83" s="359"/>
      <c r="O83" s="359"/>
      <c r="P83" s="359"/>
      <c r="Q83" s="359"/>
      <c r="R83" s="359"/>
      <c r="S83" s="359"/>
      <c r="T83" s="359"/>
      <c r="U83" s="359"/>
      <c r="V83" s="359"/>
      <c r="W83" s="359"/>
      <c r="X83" s="359"/>
      <c r="Y83" s="359"/>
      <c r="Z83" s="359"/>
      <c r="AA83" s="359"/>
      <c r="AB83" s="359"/>
      <c r="AC83" s="359"/>
      <c r="AD83" s="359"/>
      <c r="AE83" s="359"/>
      <c r="AF83" s="359"/>
      <c r="AG83" s="359"/>
      <c r="AH83" s="359"/>
    </row>
    <row r="84" spans="1:34">
      <c r="A84" s="359"/>
      <c r="B84" s="359"/>
      <c r="C84" s="359"/>
      <c r="D84" s="359"/>
      <c r="E84" s="359"/>
      <c r="F84" s="359"/>
      <c r="G84" s="359"/>
      <c r="H84" s="359"/>
      <c r="I84" s="359"/>
      <c r="J84" s="359"/>
      <c r="K84" s="359"/>
      <c r="L84" s="359"/>
      <c r="M84" s="359"/>
      <c r="N84" s="359"/>
      <c r="O84" s="359"/>
      <c r="P84" s="359"/>
      <c r="Q84" s="359"/>
      <c r="R84" s="359"/>
      <c r="S84" s="359"/>
      <c r="T84" s="359"/>
      <c r="U84" s="359"/>
      <c r="V84" s="359"/>
      <c r="W84" s="359"/>
      <c r="X84" s="359"/>
      <c r="Y84" s="359"/>
      <c r="Z84" s="359"/>
      <c r="AA84" s="359"/>
      <c r="AB84" s="359"/>
      <c r="AC84" s="359"/>
      <c r="AD84" s="359"/>
      <c r="AE84" s="359"/>
      <c r="AF84" s="359"/>
      <c r="AG84" s="359"/>
      <c r="AH84" s="359"/>
    </row>
    <row r="85" spans="1:34">
      <c r="A85" s="359"/>
      <c r="B85" s="359"/>
      <c r="C85" s="359"/>
      <c r="D85" s="359"/>
      <c r="E85" s="359"/>
      <c r="F85" s="359"/>
      <c r="G85" s="359"/>
      <c r="H85" s="359"/>
      <c r="I85" s="359"/>
      <c r="J85" s="359"/>
      <c r="K85" s="359"/>
      <c r="L85" s="359"/>
      <c r="M85" s="359"/>
      <c r="N85" s="359"/>
      <c r="O85" s="359"/>
      <c r="P85" s="359"/>
      <c r="Q85" s="359"/>
      <c r="R85" s="359"/>
      <c r="S85" s="359"/>
      <c r="T85" s="359"/>
      <c r="U85" s="359"/>
      <c r="V85" s="359"/>
      <c r="W85" s="359"/>
      <c r="X85" s="359"/>
      <c r="Y85" s="359"/>
      <c r="Z85" s="359"/>
      <c r="AA85" s="359"/>
      <c r="AB85" s="359"/>
      <c r="AC85" s="359"/>
      <c r="AD85" s="359"/>
      <c r="AE85" s="359"/>
      <c r="AF85" s="359"/>
      <c r="AG85" s="359"/>
      <c r="AH85" s="359"/>
    </row>
    <row r="86" spans="1:34">
      <c r="A86" s="359"/>
      <c r="B86" s="359"/>
      <c r="C86" s="359"/>
      <c r="D86" s="359"/>
      <c r="E86" s="359"/>
      <c r="F86" s="359"/>
      <c r="G86" s="359"/>
      <c r="H86" s="359"/>
      <c r="I86" s="359"/>
      <c r="J86" s="359"/>
      <c r="K86" s="359"/>
      <c r="L86" s="359"/>
      <c r="M86" s="359"/>
      <c r="N86" s="359"/>
      <c r="O86" s="359"/>
      <c r="P86" s="359"/>
      <c r="Q86" s="359"/>
      <c r="R86" s="359"/>
      <c r="S86" s="359"/>
      <c r="T86" s="359"/>
      <c r="U86" s="359"/>
      <c r="V86" s="359"/>
      <c r="W86" s="359"/>
      <c r="X86" s="359"/>
      <c r="Y86" s="359"/>
      <c r="Z86" s="359"/>
      <c r="AA86" s="359"/>
      <c r="AB86" s="359"/>
      <c r="AC86" s="359"/>
      <c r="AD86" s="359"/>
      <c r="AE86" s="359"/>
      <c r="AF86" s="359"/>
      <c r="AG86" s="359"/>
      <c r="AH86" s="359"/>
    </row>
    <row r="87" spans="1:34">
      <c r="A87" s="359"/>
      <c r="B87" s="359"/>
      <c r="C87" s="359"/>
      <c r="D87" s="359"/>
      <c r="E87" s="359"/>
      <c r="F87" s="359"/>
      <c r="G87" s="359"/>
      <c r="H87" s="359"/>
      <c r="I87" s="359"/>
      <c r="J87" s="359"/>
      <c r="K87" s="359"/>
      <c r="L87" s="359"/>
      <c r="M87" s="359"/>
      <c r="N87" s="359"/>
      <c r="O87" s="359"/>
      <c r="P87" s="359"/>
      <c r="Q87" s="359"/>
      <c r="R87" s="359"/>
      <c r="S87" s="359"/>
      <c r="T87" s="359"/>
      <c r="U87" s="359"/>
      <c r="V87" s="359"/>
      <c r="W87" s="359"/>
      <c r="X87" s="359"/>
      <c r="Y87" s="359"/>
      <c r="Z87" s="359"/>
      <c r="AA87" s="359"/>
      <c r="AB87" s="359"/>
      <c r="AC87" s="359"/>
      <c r="AD87" s="359"/>
      <c r="AE87" s="359"/>
      <c r="AF87" s="359"/>
      <c r="AG87" s="359"/>
      <c r="AH87" s="359"/>
    </row>
    <row r="88" spans="1:34">
      <c r="A88" s="359"/>
      <c r="B88" s="359"/>
      <c r="C88" s="359"/>
      <c r="D88" s="359"/>
      <c r="E88" s="359"/>
      <c r="F88" s="359"/>
      <c r="G88" s="359"/>
      <c r="H88" s="359"/>
      <c r="I88" s="359"/>
      <c r="J88" s="359"/>
      <c r="K88" s="359"/>
      <c r="L88" s="359"/>
      <c r="M88" s="359"/>
      <c r="N88" s="359"/>
      <c r="O88" s="359"/>
      <c r="P88" s="359"/>
      <c r="Q88" s="359"/>
      <c r="R88" s="359"/>
      <c r="S88" s="359"/>
      <c r="T88" s="359"/>
      <c r="U88" s="359"/>
      <c r="V88" s="359"/>
      <c r="W88" s="359"/>
      <c r="X88" s="359"/>
      <c r="Y88" s="359"/>
      <c r="Z88" s="359"/>
      <c r="AA88" s="359"/>
      <c r="AB88" s="359"/>
      <c r="AC88" s="359"/>
      <c r="AD88" s="359"/>
      <c r="AE88" s="359"/>
      <c r="AF88" s="359"/>
      <c r="AG88" s="359"/>
      <c r="AH88" s="359"/>
    </row>
    <row r="89" spans="1:34">
      <c r="A89" s="359"/>
      <c r="B89" s="359"/>
      <c r="C89" s="359"/>
      <c r="D89" s="359"/>
      <c r="E89" s="359"/>
      <c r="F89" s="359"/>
      <c r="G89" s="359"/>
      <c r="H89" s="359"/>
      <c r="I89" s="359"/>
      <c r="J89" s="359"/>
      <c r="K89" s="359"/>
      <c r="L89" s="359"/>
      <c r="M89" s="359"/>
      <c r="N89" s="359"/>
      <c r="O89" s="359"/>
      <c r="P89" s="359"/>
      <c r="Q89" s="359"/>
      <c r="R89" s="359"/>
      <c r="S89" s="359"/>
      <c r="T89" s="359"/>
      <c r="U89" s="359"/>
      <c r="V89" s="359"/>
      <c r="W89" s="359"/>
      <c r="X89" s="359"/>
      <c r="Y89" s="359"/>
      <c r="Z89" s="359"/>
      <c r="AA89" s="359"/>
      <c r="AB89" s="359"/>
      <c r="AC89" s="359"/>
      <c r="AD89" s="359"/>
      <c r="AE89" s="359"/>
      <c r="AF89" s="359"/>
      <c r="AG89" s="359"/>
      <c r="AH89" s="359"/>
    </row>
    <row r="90" spans="1:34">
      <c r="A90" s="359"/>
      <c r="B90" s="359"/>
      <c r="C90" s="359"/>
      <c r="D90" s="359"/>
      <c r="E90" s="359"/>
      <c r="F90" s="359"/>
      <c r="G90" s="359"/>
      <c r="H90" s="359"/>
      <c r="I90" s="359"/>
      <c r="J90" s="359"/>
      <c r="K90" s="359"/>
      <c r="L90" s="359"/>
      <c r="M90" s="359"/>
      <c r="N90" s="359"/>
      <c r="O90" s="359"/>
      <c r="P90" s="359"/>
      <c r="Q90" s="359"/>
      <c r="R90" s="359"/>
      <c r="S90" s="359"/>
      <c r="T90" s="359"/>
      <c r="U90" s="359"/>
      <c r="V90" s="359"/>
      <c r="W90" s="359"/>
      <c r="X90" s="359"/>
      <c r="Y90" s="359"/>
      <c r="Z90" s="359"/>
      <c r="AA90" s="359"/>
      <c r="AB90" s="359"/>
      <c r="AC90" s="359"/>
      <c r="AD90" s="359"/>
      <c r="AE90" s="359"/>
      <c r="AF90" s="359"/>
      <c r="AG90" s="359"/>
      <c r="AH90" s="359"/>
    </row>
    <row r="91" spans="1:34">
      <c r="A91" s="359"/>
      <c r="B91" s="359"/>
      <c r="C91" s="359"/>
      <c r="D91" s="359"/>
      <c r="E91" s="359"/>
      <c r="F91" s="359"/>
      <c r="G91" s="359"/>
      <c r="H91" s="359"/>
      <c r="I91" s="359"/>
      <c r="J91" s="359"/>
      <c r="K91" s="359"/>
      <c r="L91" s="359"/>
      <c r="M91" s="359"/>
      <c r="N91" s="359"/>
      <c r="O91" s="359"/>
      <c r="P91" s="359"/>
      <c r="Q91" s="359"/>
      <c r="R91" s="359"/>
      <c r="S91" s="359"/>
      <c r="T91" s="359"/>
      <c r="U91" s="359"/>
      <c r="V91" s="359"/>
      <c r="W91" s="359"/>
      <c r="X91" s="359"/>
      <c r="Y91" s="359"/>
      <c r="Z91" s="359"/>
      <c r="AA91" s="359"/>
      <c r="AB91" s="359"/>
      <c r="AC91" s="359"/>
      <c r="AD91" s="359"/>
      <c r="AE91" s="359"/>
      <c r="AF91" s="359"/>
      <c r="AG91" s="359"/>
      <c r="AH91" s="359"/>
    </row>
    <row r="92" spans="1:34">
      <c r="A92" s="359"/>
      <c r="B92" s="359"/>
      <c r="C92" s="359"/>
      <c r="D92" s="359"/>
      <c r="E92" s="359"/>
      <c r="F92" s="359"/>
      <c r="G92" s="359"/>
      <c r="H92" s="359"/>
      <c r="I92" s="359"/>
      <c r="J92" s="359"/>
      <c r="K92" s="359"/>
      <c r="L92" s="359"/>
      <c r="M92" s="359"/>
      <c r="N92" s="359"/>
      <c r="O92" s="359"/>
      <c r="P92" s="359"/>
      <c r="Q92" s="359"/>
      <c r="R92" s="359"/>
      <c r="S92" s="359"/>
      <c r="T92" s="359"/>
      <c r="U92" s="359"/>
      <c r="V92" s="359"/>
      <c r="W92" s="359"/>
      <c r="X92" s="359"/>
      <c r="Y92" s="359"/>
      <c r="Z92" s="359"/>
      <c r="AA92" s="359"/>
      <c r="AB92" s="359"/>
      <c r="AC92" s="359"/>
      <c r="AD92" s="359"/>
      <c r="AE92" s="359"/>
      <c r="AF92" s="359"/>
      <c r="AG92" s="359"/>
      <c r="AH92" s="359"/>
    </row>
    <row r="93" spans="1:34">
      <c r="A93" s="359"/>
      <c r="B93" s="359"/>
      <c r="C93" s="359"/>
      <c r="D93" s="359"/>
      <c r="E93" s="359"/>
      <c r="F93" s="359"/>
      <c r="G93" s="359"/>
      <c r="H93" s="359"/>
      <c r="I93" s="359"/>
      <c r="J93" s="359"/>
      <c r="K93" s="359"/>
      <c r="L93" s="359"/>
      <c r="M93" s="359"/>
      <c r="N93" s="359"/>
      <c r="O93" s="359"/>
      <c r="P93" s="359"/>
      <c r="Q93" s="359"/>
      <c r="R93" s="359"/>
      <c r="S93" s="359"/>
      <c r="T93" s="359"/>
      <c r="U93" s="359"/>
      <c r="V93" s="359"/>
      <c r="W93" s="359"/>
      <c r="X93" s="359"/>
      <c r="Y93" s="359"/>
      <c r="Z93" s="359"/>
      <c r="AA93" s="359"/>
      <c r="AB93" s="359"/>
      <c r="AC93" s="359"/>
      <c r="AD93" s="359"/>
      <c r="AE93" s="359"/>
      <c r="AF93" s="359"/>
      <c r="AG93" s="359"/>
      <c r="AH93" s="359"/>
    </row>
    <row r="94" spans="1:34">
      <c r="A94" s="359"/>
      <c r="B94" s="359"/>
      <c r="C94" s="359"/>
      <c r="D94" s="359"/>
      <c r="E94" s="359"/>
      <c r="F94" s="359"/>
      <c r="G94" s="359"/>
      <c r="H94" s="359"/>
      <c r="I94" s="359"/>
      <c r="J94" s="359"/>
      <c r="K94" s="359"/>
      <c r="L94" s="359"/>
      <c r="M94" s="359"/>
      <c r="N94" s="359"/>
      <c r="O94" s="359"/>
      <c r="P94" s="359"/>
      <c r="Q94" s="359"/>
      <c r="R94" s="359"/>
      <c r="S94" s="359"/>
      <c r="T94" s="359"/>
      <c r="U94" s="359"/>
      <c r="V94" s="359"/>
      <c r="W94" s="359"/>
      <c r="X94" s="359"/>
      <c r="Y94" s="359"/>
      <c r="Z94" s="359"/>
      <c r="AA94" s="359"/>
      <c r="AB94" s="359"/>
      <c r="AC94" s="359"/>
      <c r="AD94" s="359"/>
      <c r="AE94" s="359"/>
      <c r="AF94" s="359"/>
      <c r="AG94" s="359"/>
      <c r="AH94" s="359"/>
    </row>
    <row r="95" spans="1:34">
      <c r="A95" s="359"/>
      <c r="B95" s="359"/>
      <c r="C95" s="359"/>
      <c r="D95" s="359"/>
      <c r="E95" s="359"/>
      <c r="F95" s="359"/>
      <c r="G95" s="359"/>
      <c r="H95" s="359"/>
      <c r="I95" s="359"/>
      <c r="J95" s="359"/>
      <c r="K95" s="359"/>
      <c r="L95" s="359"/>
      <c r="M95" s="359"/>
      <c r="N95" s="359"/>
      <c r="O95" s="359"/>
      <c r="P95" s="359"/>
      <c r="Q95" s="359"/>
      <c r="R95" s="359"/>
      <c r="S95" s="359"/>
      <c r="T95" s="359"/>
      <c r="U95" s="359"/>
      <c r="V95" s="359"/>
      <c r="W95" s="359"/>
      <c r="X95" s="359"/>
      <c r="Y95" s="359"/>
      <c r="Z95" s="359"/>
      <c r="AA95" s="359"/>
      <c r="AB95" s="359"/>
      <c r="AC95" s="359"/>
      <c r="AD95" s="359"/>
      <c r="AE95" s="359"/>
      <c r="AF95" s="359"/>
      <c r="AG95" s="359"/>
      <c r="AH95" s="359"/>
    </row>
    <row r="96" spans="1:34">
      <c r="A96" s="359"/>
      <c r="B96" s="359"/>
      <c r="C96" s="359"/>
      <c r="D96" s="359"/>
      <c r="E96" s="359"/>
      <c r="F96" s="359"/>
      <c r="G96" s="359"/>
      <c r="H96" s="359"/>
      <c r="I96" s="359"/>
      <c r="J96" s="359"/>
      <c r="K96" s="359"/>
      <c r="L96" s="359"/>
      <c r="M96" s="359"/>
      <c r="N96" s="359"/>
      <c r="O96" s="359"/>
      <c r="P96" s="359"/>
      <c r="Q96" s="359"/>
      <c r="R96" s="359"/>
      <c r="S96" s="359"/>
      <c r="T96" s="359"/>
      <c r="U96" s="359"/>
      <c r="V96" s="359"/>
      <c r="W96" s="359"/>
      <c r="X96" s="359"/>
      <c r="Y96" s="359"/>
      <c r="Z96" s="359"/>
      <c r="AA96" s="359"/>
      <c r="AB96" s="359"/>
      <c r="AC96" s="359"/>
      <c r="AD96" s="359"/>
      <c r="AE96" s="359"/>
      <c r="AF96" s="359"/>
      <c r="AG96" s="359"/>
      <c r="AH96" s="359"/>
    </row>
    <row r="97" spans="1:34">
      <c r="A97" s="359"/>
      <c r="B97" s="359"/>
      <c r="C97" s="359"/>
      <c r="D97" s="359"/>
      <c r="E97" s="359"/>
      <c r="F97" s="359"/>
      <c r="G97" s="359"/>
      <c r="H97" s="359"/>
      <c r="I97" s="359"/>
      <c r="J97" s="359"/>
      <c r="K97" s="359"/>
      <c r="L97" s="359"/>
      <c r="M97" s="359"/>
      <c r="N97" s="359"/>
      <c r="O97" s="359"/>
      <c r="P97" s="359"/>
      <c r="Q97" s="359"/>
      <c r="R97" s="359"/>
      <c r="S97" s="359"/>
      <c r="T97" s="359"/>
      <c r="U97" s="359"/>
      <c r="V97" s="359"/>
      <c r="W97" s="359"/>
      <c r="X97" s="359"/>
      <c r="Y97" s="359"/>
      <c r="Z97" s="359"/>
      <c r="AA97" s="359"/>
      <c r="AB97" s="359"/>
      <c r="AC97" s="359"/>
      <c r="AD97" s="359"/>
      <c r="AE97" s="359"/>
      <c r="AF97" s="359"/>
      <c r="AG97" s="359"/>
      <c r="AH97" s="359"/>
    </row>
    <row r="98" spans="1:34">
      <c r="A98" s="359"/>
      <c r="B98" s="359"/>
      <c r="C98" s="359"/>
      <c r="D98" s="359"/>
      <c r="E98" s="359"/>
      <c r="F98" s="359"/>
      <c r="G98" s="359"/>
      <c r="H98" s="359"/>
      <c r="I98" s="359"/>
      <c r="J98" s="359"/>
      <c r="K98" s="359"/>
      <c r="L98" s="359"/>
      <c r="M98" s="359"/>
      <c r="N98" s="359"/>
      <c r="O98" s="359"/>
      <c r="P98" s="359"/>
      <c r="Q98" s="359"/>
      <c r="R98" s="359"/>
      <c r="S98" s="359"/>
      <c r="T98" s="359"/>
      <c r="U98" s="359"/>
      <c r="V98" s="359"/>
      <c r="W98" s="359"/>
      <c r="X98" s="359"/>
      <c r="Y98" s="359"/>
      <c r="Z98" s="359"/>
      <c r="AA98" s="359"/>
      <c r="AB98" s="359"/>
      <c r="AC98" s="359"/>
      <c r="AD98" s="359"/>
      <c r="AE98" s="359"/>
      <c r="AF98" s="359"/>
      <c r="AG98" s="359"/>
      <c r="AH98" s="359"/>
    </row>
    <row r="99" spans="1:34">
      <c r="A99" s="359"/>
      <c r="B99" s="359"/>
      <c r="C99" s="359"/>
      <c r="D99" s="359"/>
      <c r="E99" s="359"/>
      <c r="F99" s="359"/>
      <c r="G99" s="359"/>
      <c r="H99" s="359"/>
      <c r="I99" s="359"/>
      <c r="J99" s="359"/>
      <c r="K99" s="359"/>
      <c r="L99" s="359"/>
      <c r="M99" s="359"/>
      <c r="N99" s="359"/>
      <c r="O99" s="359"/>
      <c r="P99" s="359"/>
      <c r="Q99" s="359"/>
      <c r="R99" s="359"/>
      <c r="S99" s="359"/>
      <c r="T99" s="359"/>
      <c r="U99" s="359"/>
      <c r="V99" s="359"/>
      <c r="W99" s="359"/>
      <c r="X99" s="359"/>
      <c r="Y99" s="359"/>
      <c r="Z99" s="359"/>
      <c r="AA99" s="359"/>
      <c r="AB99" s="359"/>
      <c r="AC99" s="359"/>
      <c r="AD99" s="359"/>
      <c r="AE99" s="359"/>
      <c r="AF99" s="359"/>
      <c r="AG99" s="359"/>
      <c r="AH99" s="359"/>
    </row>
    <row r="100" spans="1:34">
      <c r="A100" s="359"/>
      <c r="B100" s="359"/>
      <c r="C100" s="359"/>
      <c r="D100" s="359"/>
      <c r="E100" s="359"/>
      <c r="F100" s="359"/>
      <c r="G100" s="359"/>
      <c r="H100" s="359"/>
      <c r="I100" s="359"/>
      <c r="J100" s="359"/>
      <c r="K100" s="359"/>
      <c r="L100" s="359"/>
      <c r="M100" s="359"/>
      <c r="N100" s="359"/>
      <c r="O100" s="359"/>
      <c r="P100" s="359"/>
      <c r="Q100" s="359"/>
      <c r="R100" s="359"/>
      <c r="S100" s="359"/>
      <c r="T100" s="359"/>
      <c r="U100" s="359"/>
      <c r="V100" s="359"/>
      <c r="W100" s="359"/>
      <c r="X100" s="359"/>
      <c r="Y100" s="359"/>
      <c r="Z100" s="359"/>
      <c r="AA100" s="359"/>
      <c r="AB100" s="359"/>
      <c r="AC100" s="359"/>
      <c r="AD100" s="359"/>
      <c r="AE100" s="359"/>
      <c r="AF100" s="359"/>
      <c r="AG100" s="359"/>
      <c r="AH100" s="359"/>
    </row>
    <row r="101" spans="1:34">
      <c r="A101" s="359"/>
      <c r="B101" s="359"/>
      <c r="C101" s="359"/>
      <c r="D101" s="359"/>
      <c r="E101" s="359"/>
      <c r="F101" s="359"/>
      <c r="G101" s="359"/>
      <c r="H101" s="359"/>
      <c r="I101" s="359"/>
      <c r="J101" s="359"/>
      <c r="K101" s="359"/>
      <c r="L101" s="359"/>
      <c r="M101" s="359"/>
      <c r="N101" s="359"/>
      <c r="O101" s="359"/>
      <c r="P101" s="359"/>
      <c r="Q101" s="359"/>
      <c r="R101" s="359"/>
      <c r="S101" s="359"/>
      <c r="T101" s="359"/>
      <c r="U101" s="359"/>
      <c r="V101" s="359"/>
      <c r="W101" s="359"/>
      <c r="X101" s="359"/>
      <c r="Y101" s="359"/>
      <c r="Z101" s="359"/>
      <c r="AA101" s="359"/>
      <c r="AB101" s="359"/>
      <c r="AC101" s="359"/>
      <c r="AD101" s="359"/>
      <c r="AE101" s="359"/>
      <c r="AF101" s="359"/>
      <c r="AG101" s="359"/>
      <c r="AH101" s="359"/>
    </row>
    <row r="102" spans="1:34">
      <c r="A102" s="359"/>
      <c r="B102" s="359"/>
      <c r="C102" s="359"/>
      <c r="D102" s="359"/>
      <c r="E102" s="359"/>
      <c r="F102" s="359"/>
      <c r="G102" s="359"/>
      <c r="H102" s="359"/>
      <c r="I102" s="359"/>
      <c r="J102" s="359"/>
      <c r="K102" s="359"/>
      <c r="L102" s="359"/>
      <c r="M102" s="359"/>
      <c r="N102" s="359"/>
      <c r="O102" s="359"/>
      <c r="P102" s="359"/>
      <c r="Q102" s="359"/>
      <c r="R102" s="359"/>
      <c r="S102" s="359"/>
      <c r="T102" s="359"/>
      <c r="U102" s="359"/>
      <c r="V102" s="359"/>
      <c r="W102" s="359"/>
      <c r="X102" s="359"/>
      <c r="Y102" s="359"/>
      <c r="Z102" s="359"/>
      <c r="AA102" s="359"/>
      <c r="AB102" s="359"/>
      <c r="AC102" s="359"/>
      <c r="AD102" s="359"/>
      <c r="AE102" s="359"/>
      <c r="AF102" s="359"/>
      <c r="AG102" s="359"/>
      <c r="AH102" s="359"/>
    </row>
    <row r="103" spans="1:34">
      <c r="A103" s="359"/>
      <c r="B103" s="359"/>
      <c r="C103" s="359"/>
      <c r="D103" s="359"/>
      <c r="E103" s="359"/>
      <c r="F103" s="359"/>
      <c r="G103" s="359"/>
      <c r="H103" s="359"/>
      <c r="I103" s="359"/>
      <c r="J103" s="359"/>
      <c r="K103" s="359"/>
      <c r="L103" s="359"/>
      <c r="M103" s="359"/>
      <c r="N103" s="359"/>
      <c r="O103" s="359"/>
      <c r="P103" s="359"/>
      <c r="Q103" s="359"/>
      <c r="R103" s="359"/>
      <c r="S103" s="359"/>
      <c r="T103" s="359"/>
      <c r="U103" s="359"/>
      <c r="V103" s="359"/>
      <c r="W103" s="359"/>
      <c r="X103" s="359"/>
      <c r="Y103" s="359"/>
      <c r="Z103" s="359"/>
      <c r="AA103" s="359"/>
      <c r="AB103" s="359"/>
      <c r="AC103" s="359"/>
      <c r="AD103" s="359"/>
      <c r="AE103" s="359"/>
      <c r="AF103" s="359"/>
      <c r="AG103" s="359"/>
      <c r="AH103" s="359"/>
    </row>
    <row r="104" spans="1:34">
      <c r="A104" s="359"/>
      <c r="B104" s="359"/>
      <c r="C104" s="359"/>
      <c r="D104" s="359"/>
      <c r="E104" s="359"/>
      <c r="F104" s="359"/>
      <c r="G104" s="359"/>
      <c r="H104" s="359"/>
      <c r="I104" s="359"/>
      <c r="J104" s="359"/>
      <c r="K104" s="359"/>
      <c r="L104" s="359"/>
      <c r="M104" s="359"/>
      <c r="N104" s="359"/>
      <c r="O104" s="359"/>
      <c r="P104" s="359"/>
      <c r="Q104" s="359"/>
      <c r="R104" s="359"/>
      <c r="S104" s="359"/>
      <c r="T104" s="359"/>
      <c r="U104" s="359"/>
      <c r="V104" s="359"/>
      <c r="W104" s="359"/>
      <c r="X104" s="359"/>
      <c r="Y104" s="359"/>
      <c r="Z104" s="359"/>
      <c r="AA104" s="359"/>
      <c r="AB104" s="359"/>
      <c r="AC104" s="359"/>
      <c r="AD104" s="359"/>
      <c r="AE104" s="359"/>
      <c r="AF104" s="359"/>
      <c r="AG104" s="359"/>
      <c r="AH104" s="359"/>
    </row>
    <row r="105" spans="1:34">
      <c r="A105" s="359"/>
      <c r="B105" s="359"/>
      <c r="C105" s="359"/>
      <c r="D105" s="359"/>
      <c r="E105" s="359"/>
      <c r="F105" s="359"/>
      <c r="G105" s="359"/>
      <c r="H105" s="359"/>
      <c r="I105" s="359"/>
      <c r="J105" s="359"/>
      <c r="K105" s="359"/>
      <c r="L105" s="359"/>
      <c r="M105" s="359"/>
      <c r="N105" s="359"/>
      <c r="O105" s="359"/>
      <c r="P105" s="359"/>
      <c r="Q105" s="359"/>
      <c r="R105" s="359"/>
      <c r="S105" s="359"/>
      <c r="T105" s="359"/>
      <c r="U105" s="359"/>
      <c r="V105" s="359"/>
      <c r="W105" s="359"/>
      <c r="X105" s="359"/>
      <c r="Y105" s="359"/>
      <c r="Z105" s="359"/>
      <c r="AA105" s="359"/>
      <c r="AB105" s="359"/>
      <c r="AC105" s="359"/>
      <c r="AD105" s="359"/>
      <c r="AE105" s="359"/>
      <c r="AF105" s="359"/>
      <c r="AG105" s="359"/>
      <c r="AH105" s="359"/>
    </row>
    <row r="106" spans="1:34">
      <c r="A106" s="359"/>
      <c r="B106" s="359"/>
      <c r="C106" s="359"/>
      <c r="D106" s="359"/>
      <c r="E106" s="359"/>
      <c r="F106" s="359"/>
      <c r="G106" s="359"/>
      <c r="H106" s="359"/>
      <c r="I106" s="359"/>
      <c r="J106" s="359"/>
      <c r="K106" s="359"/>
      <c r="L106" s="359"/>
      <c r="M106" s="359"/>
      <c r="N106" s="359"/>
      <c r="O106" s="359"/>
      <c r="P106" s="359"/>
      <c r="Q106" s="359"/>
      <c r="R106" s="359"/>
      <c r="S106" s="359"/>
      <c r="T106" s="359"/>
      <c r="U106" s="359"/>
      <c r="V106" s="359"/>
      <c r="W106" s="359"/>
      <c r="X106" s="359"/>
      <c r="Y106" s="359"/>
      <c r="Z106" s="359"/>
      <c r="AA106" s="359"/>
      <c r="AB106" s="359"/>
      <c r="AC106" s="359"/>
      <c r="AD106" s="359"/>
      <c r="AE106" s="359"/>
      <c r="AF106" s="359"/>
      <c r="AG106" s="359"/>
      <c r="AH106" s="359"/>
    </row>
    <row r="107" spans="1:34">
      <c r="A107" s="359"/>
      <c r="B107" s="359"/>
      <c r="C107" s="359"/>
      <c r="D107" s="359"/>
      <c r="E107" s="359"/>
      <c r="F107" s="359"/>
      <c r="G107" s="359"/>
      <c r="H107" s="359"/>
      <c r="I107" s="359"/>
      <c r="J107" s="359"/>
      <c r="K107" s="359"/>
      <c r="L107" s="359"/>
      <c r="M107" s="359"/>
      <c r="N107" s="359"/>
      <c r="O107" s="359"/>
      <c r="P107" s="359"/>
      <c r="Q107" s="359"/>
      <c r="R107" s="359"/>
      <c r="S107" s="359"/>
      <c r="T107" s="359"/>
      <c r="U107" s="359"/>
      <c r="V107" s="359"/>
      <c r="W107" s="359"/>
      <c r="X107" s="359"/>
      <c r="Y107" s="359"/>
      <c r="Z107" s="359"/>
      <c r="AA107" s="359"/>
      <c r="AB107" s="359"/>
      <c r="AC107" s="359"/>
      <c r="AD107" s="359"/>
      <c r="AE107" s="359"/>
      <c r="AF107" s="359"/>
      <c r="AG107" s="359"/>
      <c r="AH107" s="359"/>
    </row>
    <row r="108" spans="1:34">
      <c r="A108" s="359"/>
      <c r="B108" s="359"/>
      <c r="C108" s="359"/>
      <c r="D108" s="359"/>
      <c r="E108" s="359"/>
      <c r="F108" s="359"/>
      <c r="G108" s="359"/>
      <c r="H108" s="359"/>
      <c r="I108" s="359"/>
      <c r="J108" s="359"/>
      <c r="K108" s="359"/>
      <c r="L108" s="359"/>
      <c r="M108" s="359"/>
      <c r="N108" s="359"/>
      <c r="O108" s="359"/>
      <c r="P108" s="359"/>
      <c r="Q108" s="359"/>
      <c r="R108" s="359"/>
      <c r="S108" s="359"/>
      <c r="T108" s="359"/>
      <c r="U108" s="359"/>
      <c r="V108" s="359"/>
      <c r="W108" s="359"/>
      <c r="X108" s="359"/>
      <c r="Y108" s="359"/>
      <c r="Z108" s="359"/>
      <c r="AA108" s="359"/>
      <c r="AB108" s="359"/>
      <c r="AC108" s="359"/>
      <c r="AD108" s="359"/>
      <c r="AE108" s="359"/>
      <c r="AF108" s="359"/>
      <c r="AG108" s="359"/>
      <c r="AH108" s="359"/>
    </row>
    <row r="109" spans="1:34">
      <c r="A109" s="359"/>
      <c r="B109" s="359"/>
      <c r="C109" s="359"/>
      <c r="D109" s="359"/>
      <c r="E109" s="359"/>
      <c r="F109" s="359"/>
      <c r="G109" s="359"/>
      <c r="H109" s="359"/>
      <c r="I109" s="359"/>
      <c r="J109" s="359"/>
      <c r="K109" s="359"/>
      <c r="L109" s="359"/>
      <c r="M109" s="359"/>
      <c r="N109" s="359"/>
      <c r="O109" s="359"/>
      <c r="P109" s="359"/>
      <c r="Q109" s="359"/>
      <c r="R109" s="359"/>
      <c r="S109" s="359"/>
      <c r="T109" s="359"/>
      <c r="U109" s="359"/>
      <c r="V109" s="359"/>
      <c r="W109" s="359"/>
      <c r="X109" s="359"/>
      <c r="Y109" s="359"/>
      <c r="Z109" s="359"/>
      <c r="AA109" s="359"/>
      <c r="AB109" s="359"/>
      <c r="AC109" s="359"/>
      <c r="AD109" s="359"/>
      <c r="AE109" s="359"/>
      <c r="AF109" s="359"/>
      <c r="AG109" s="359"/>
      <c r="AH109" s="359"/>
    </row>
    <row r="110" spans="1:34">
      <c r="A110" s="359"/>
      <c r="B110" s="359"/>
      <c r="C110" s="359"/>
      <c r="D110" s="359"/>
      <c r="E110" s="359"/>
      <c r="F110" s="359"/>
      <c r="G110" s="359"/>
      <c r="H110" s="359"/>
      <c r="I110" s="359"/>
      <c r="J110" s="359"/>
      <c r="K110" s="359"/>
      <c r="L110" s="359"/>
      <c r="M110" s="359"/>
      <c r="N110" s="359"/>
      <c r="O110" s="359"/>
      <c r="P110" s="359"/>
      <c r="Q110" s="359"/>
      <c r="R110" s="359"/>
      <c r="S110" s="359"/>
      <c r="T110" s="359"/>
      <c r="U110" s="359"/>
      <c r="V110" s="359"/>
      <c r="W110" s="359"/>
      <c r="X110" s="359"/>
      <c r="Y110" s="359"/>
      <c r="Z110" s="359"/>
      <c r="AA110" s="359"/>
      <c r="AB110" s="359"/>
      <c r="AC110" s="359"/>
      <c r="AD110" s="359"/>
      <c r="AE110" s="359"/>
      <c r="AF110" s="359"/>
      <c r="AG110" s="359"/>
      <c r="AH110" s="359"/>
    </row>
    <row r="111" spans="1:34">
      <c r="A111" s="359"/>
      <c r="B111" s="359"/>
      <c r="C111" s="359"/>
      <c r="D111" s="359"/>
      <c r="E111" s="359"/>
      <c r="F111" s="359"/>
      <c r="G111" s="359"/>
      <c r="H111" s="359"/>
      <c r="I111" s="359"/>
      <c r="J111" s="359"/>
      <c r="K111" s="359"/>
      <c r="L111" s="359"/>
      <c r="M111" s="359"/>
      <c r="N111" s="359"/>
      <c r="O111" s="359"/>
      <c r="P111" s="359"/>
      <c r="Q111" s="359"/>
      <c r="R111" s="359"/>
      <c r="S111" s="359"/>
      <c r="T111" s="359"/>
      <c r="U111" s="359"/>
      <c r="V111" s="359"/>
      <c r="W111" s="359"/>
      <c r="X111" s="359"/>
      <c r="Y111" s="359"/>
      <c r="Z111" s="359"/>
      <c r="AA111" s="359"/>
      <c r="AB111" s="359"/>
      <c r="AC111" s="359"/>
      <c r="AD111" s="359"/>
      <c r="AE111" s="359"/>
      <c r="AF111" s="359"/>
      <c r="AG111" s="359"/>
      <c r="AH111" s="359"/>
    </row>
    <row r="112" spans="1:34">
      <c r="A112" s="359"/>
      <c r="B112" s="359"/>
      <c r="C112" s="359"/>
      <c r="D112" s="359"/>
      <c r="E112" s="359"/>
      <c r="F112" s="359"/>
      <c r="G112" s="359"/>
      <c r="H112" s="359"/>
      <c r="I112" s="359"/>
      <c r="J112" s="359"/>
      <c r="K112" s="359"/>
      <c r="L112" s="359"/>
      <c r="M112" s="359"/>
      <c r="N112" s="359"/>
      <c r="O112" s="359"/>
      <c r="P112" s="359"/>
      <c r="Q112" s="359"/>
      <c r="R112" s="359"/>
      <c r="S112" s="359"/>
      <c r="T112" s="359"/>
      <c r="U112" s="359"/>
      <c r="V112" s="359"/>
      <c r="W112" s="359"/>
      <c r="X112" s="359"/>
      <c r="Y112" s="359"/>
      <c r="Z112" s="359"/>
      <c r="AA112" s="359"/>
      <c r="AB112" s="359"/>
      <c r="AC112" s="359"/>
      <c r="AD112" s="359"/>
      <c r="AE112" s="359"/>
      <c r="AF112" s="359"/>
      <c r="AG112" s="359"/>
      <c r="AH112" s="359"/>
    </row>
    <row r="113" spans="1:34">
      <c r="A113" s="359"/>
      <c r="B113" s="359"/>
      <c r="C113" s="359"/>
      <c r="D113" s="359"/>
      <c r="E113" s="359"/>
      <c r="F113" s="359"/>
      <c r="G113" s="359"/>
      <c r="H113" s="359"/>
      <c r="I113" s="359"/>
      <c r="J113" s="359"/>
      <c r="K113" s="359"/>
      <c r="L113" s="359"/>
      <c r="M113" s="359"/>
      <c r="N113" s="359"/>
      <c r="O113" s="359"/>
      <c r="P113" s="359"/>
      <c r="Q113" s="359"/>
      <c r="R113" s="359"/>
      <c r="S113" s="359"/>
      <c r="T113" s="359"/>
      <c r="U113" s="359"/>
      <c r="V113" s="359"/>
      <c r="W113" s="359"/>
      <c r="X113" s="359"/>
      <c r="Y113" s="359"/>
      <c r="Z113" s="359"/>
      <c r="AA113" s="359"/>
      <c r="AB113" s="359"/>
      <c r="AC113" s="359"/>
      <c r="AD113" s="359"/>
      <c r="AE113" s="359"/>
      <c r="AF113" s="359"/>
      <c r="AG113" s="359"/>
      <c r="AH113" s="359"/>
    </row>
    <row r="114" spans="1:34">
      <c r="A114" s="359"/>
      <c r="B114" s="359"/>
      <c r="C114" s="359"/>
      <c r="D114" s="359"/>
      <c r="E114" s="359"/>
      <c r="F114" s="359"/>
      <c r="G114" s="359"/>
      <c r="H114" s="359"/>
      <c r="I114" s="359"/>
      <c r="J114" s="359"/>
      <c r="K114" s="359"/>
      <c r="L114" s="359"/>
      <c r="M114" s="359"/>
      <c r="N114" s="359"/>
      <c r="O114" s="359"/>
      <c r="P114" s="359"/>
      <c r="Q114" s="359"/>
      <c r="R114" s="359"/>
      <c r="S114" s="359"/>
      <c r="T114" s="359"/>
      <c r="U114" s="359"/>
      <c r="V114" s="359"/>
      <c r="W114" s="359"/>
      <c r="X114" s="359"/>
      <c r="Y114" s="359"/>
      <c r="Z114" s="359"/>
      <c r="AA114" s="359"/>
      <c r="AB114" s="359"/>
      <c r="AC114" s="359"/>
      <c r="AD114" s="359"/>
      <c r="AE114" s="359"/>
      <c r="AF114" s="359"/>
      <c r="AG114" s="359"/>
      <c r="AH114" s="359"/>
    </row>
    <row r="115" spans="1:34">
      <c r="A115" s="359"/>
      <c r="B115" s="359"/>
      <c r="C115" s="359"/>
      <c r="D115" s="359"/>
      <c r="E115" s="359"/>
      <c r="F115" s="359"/>
      <c r="G115" s="359"/>
      <c r="H115" s="359"/>
      <c r="I115" s="359"/>
      <c r="J115" s="359"/>
      <c r="K115" s="359"/>
      <c r="L115" s="359"/>
      <c r="M115" s="359"/>
      <c r="N115" s="359"/>
      <c r="O115" s="359"/>
      <c r="P115" s="359"/>
      <c r="Q115" s="359"/>
      <c r="R115" s="359"/>
      <c r="S115" s="359"/>
      <c r="T115" s="359"/>
      <c r="U115" s="359"/>
      <c r="V115" s="359"/>
      <c r="W115" s="359"/>
      <c r="X115" s="359"/>
      <c r="Y115" s="359"/>
      <c r="Z115" s="359"/>
      <c r="AA115" s="359"/>
      <c r="AB115" s="359"/>
      <c r="AC115" s="359"/>
      <c r="AD115" s="359"/>
      <c r="AE115" s="359"/>
      <c r="AF115" s="359"/>
      <c r="AG115" s="359"/>
      <c r="AH115" s="359"/>
    </row>
    <row r="116" spans="1:34">
      <c r="A116" s="359"/>
      <c r="B116" s="359"/>
      <c r="C116" s="359"/>
      <c r="D116" s="359"/>
      <c r="E116" s="359"/>
      <c r="F116" s="359"/>
      <c r="G116" s="359"/>
      <c r="H116" s="359"/>
      <c r="I116" s="359"/>
      <c r="J116" s="359"/>
      <c r="K116" s="359"/>
      <c r="L116" s="359"/>
      <c r="M116" s="359"/>
      <c r="N116" s="359"/>
      <c r="O116" s="359"/>
      <c r="P116" s="359"/>
      <c r="Q116" s="359"/>
      <c r="R116" s="359"/>
      <c r="S116" s="359"/>
      <c r="T116" s="359"/>
      <c r="U116" s="359"/>
      <c r="V116" s="359"/>
      <c r="W116" s="359"/>
      <c r="X116" s="359"/>
      <c r="Y116" s="359"/>
      <c r="Z116" s="359"/>
      <c r="AA116" s="359"/>
      <c r="AB116" s="359"/>
      <c r="AC116" s="359"/>
      <c r="AD116" s="359"/>
      <c r="AE116" s="359"/>
      <c r="AF116" s="359"/>
      <c r="AG116" s="359"/>
      <c r="AH116" s="359"/>
    </row>
    <row r="117" spans="1:34">
      <c r="A117" s="359"/>
      <c r="B117" s="359"/>
      <c r="C117" s="359"/>
      <c r="D117" s="359"/>
      <c r="E117" s="359"/>
      <c r="F117" s="359"/>
      <c r="G117" s="359"/>
      <c r="H117" s="359"/>
      <c r="I117" s="359"/>
      <c r="J117" s="359"/>
      <c r="K117" s="359"/>
      <c r="L117" s="359"/>
      <c r="M117" s="359"/>
      <c r="N117" s="359"/>
      <c r="O117" s="359"/>
      <c r="P117" s="359"/>
      <c r="Q117" s="359"/>
      <c r="R117" s="359"/>
      <c r="S117" s="359"/>
      <c r="T117" s="359"/>
      <c r="U117" s="359"/>
      <c r="V117" s="359"/>
      <c r="W117" s="359"/>
      <c r="X117" s="359"/>
      <c r="Y117" s="359"/>
      <c r="Z117" s="359"/>
      <c r="AA117" s="359"/>
      <c r="AB117" s="359"/>
      <c r="AC117" s="359"/>
      <c r="AD117" s="359"/>
      <c r="AE117" s="359"/>
      <c r="AF117" s="359"/>
      <c r="AG117" s="359"/>
      <c r="AH117" s="359"/>
    </row>
    <row r="118" spans="1:34">
      <c r="A118" s="359"/>
      <c r="B118" s="359"/>
      <c r="C118" s="359"/>
      <c r="D118" s="359"/>
      <c r="E118" s="359"/>
      <c r="F118" s="359"/>
      <c r="G118" s="359"/>
      <c r="H118" s="359"/>
      <c r="I118" s="359"/>
      <c r="J118" s="359"/>
      <c r="K118" s="359"/>
      <c r="L118" s="359"/>
      <c r="M118" s="359"/>
      <c r="N118" s="359"/>
      <c r="O118" s="359"/>
      <c r="P118" s="359"/>
      <c r="Q118" s="359"/>
      <c r="R118" s="359"/>
      <c r="S118" s="359"/>
      <c r="T118" s="359"/>
      <c r="U118" s="359"/>
      <c r="V118" s="359"/>
      <c r="W118" s="359"/>
      <c r="X118" s="359"/>
      <c r="Y118" s="359"/>
      <c r="Z118" s="359"/>
      <c r="AA118" s="359"/>
      <c r="AB118" s="359"/>
      <c r="AC118" s="359"/>
      <c r="AD118" s="359"/>
      <c r="AE118" s="359"/>
      <c r="AF118" s="359"/>
      <c r="AG118" s="359"/>
      <c r="AH118" s="359"/>
    </row>
    <row r="119" spans="1:34">
      <c r="A119" s="359"/>
      <c r="B119" s="359"/>
      <c r="C119" s="359"/>
      <c r="D119" s="359"/>
      <c r="E119" s="359"/>
      <c r="F119" s="359"/>
      <c r="G119" s="359"/>
      <c r="H119" s="359"/>
      <c r="I119" s="359"/>
      <c r="J119" s="359"/>
      <c r="K119" s="359"/>
      <c r="L119" s="359"/>
      <c r="M119" s="359"/>
      <c r="N119" s="359"/>
      <c r="O119" s="359"/>
      <c r="P119" s="359"/>
      <c r="Q119" s="359"/>
      <c r="R119" s="359"/>
      <c r="S119" s="359"/>
      <c r="T119" s="359"/>
      <c r="U119" s="359"/>
      <c r="V119" s="359"/>
      <c r="W119" s="359"/>
      <c r="X119" s="359"/>
      <c r="Y119" s="359"/>
      <c r="Z119" s="359"/>
      <c r="AA119" s="359"/>
      <c r="AB119" s="359"/>
      <c r="AC119" s="359"/>
      <c r="AD119" s="359"/>
      <c r="AE119" s="359"/>
      <c r="AF119" s="359"/>
      <c r="AG119" s="359"/>
      <c r="AH119" s="359"/>
    </row>
    <row r="120" spans="1:34">
      <c r="A120" s="359"/>
      <c r="B120" s="359"/>
      <c r="C120" s="359"/>
      <c r="D120" s="359"/>
      <c r="E120" s="359"/>
      <c r="F120" s="359"/>
      <c r="G120" s="359"/>
      <c r="H120" s="359"/>
      <c r="I120" s="359"/>
      <c r="J120" s="359"/>
      <c r="K120" s="359"/>
      <c r="L120" s="359"/>
      <c r="M120" s="359"/>
      <c r="N120" s="359"/>
      <c r="O120" s="359"/>
      <c r="P120" s="359"/>
      <c r="Q120" s="359"/>
      <c r="R120" s="359"/>
      <c r="S120" s="359"/>
      <c r="T120" s="359"/>
      <c r="U120" s="359"/>
      <c r="V120" s="359"/>
      <c r="W120" s="359"/>
      <c r="X120" s="359"/>
      <c r="Y120" s="359"/>
      <c r="Z120" s="359"/>
      <c r="AA120" s="359"/>
      <c r="AB120" s="359"/>
      <c r="AC120" s="359"/>
      <c r="AD120" s="359"/>
      <c r="AE120" s="359"/>
      <c r="AF120" s="359"/>
      <c r="AG120" s="359"/>
      <c r="AH120" s="359"/>
    </row>
    <row r="121" spans="1:34">
      <c r="A121" s="359"/>
      <c r="B121" s="359"/>
      <c r="C121" s="359"/>
      <c r="D121" s="359"/>
      <c r="E121" s="359"/>
      <c r="F121" s="359"/>
      <c r="G121" s="359"/>
      <c r="H121" s="359"/>
      <c r="I121" s="359"/>
      <c r="J121" s="359"/>
      <c r="K121" s="359"/>
      <c r="L121" s="359"/>
      <c r="M121" s="359"/>
      <c r="N121" s="359"/>
      <c r="O121" s="359"/>
      <c r="P121" s="359"/>
      <c r="Q121" s="359"/>
      <c r="R121" s="359"/>
      <c r="S121" s="359"/>
      <c r="T121" s="359"/>
      <c r="U121" s="359"/>
      <c r="V121" s="359"/>
      <c r="W121" s="359"/>
      <c r="X121" s="359"/>
      <c r="Y121" s="359"/>
      <c r="Z121" s="359"/>
      <c r="AA121" s="359"/>
      <c r="AB121" s="359"/>
      <c r="AC121" s="359"/>
      <c r="AD121" s="359"/>
      <c r="AE121" s="359"/>
      <c r="AF121" s="359"/>
      <c r="AG121" s="359"/>
      <c r="AH121" s="359"/>
    </row>
    <row r="122" spans="1:34">
      <c r="A122" s="359"/>
      <c r="B122" s="359"/>
      <c r="C122" s="359"/>
      <c r="D122" s="359"/>
      <c r="E122" s="359"/>
      <c r="F122" s="359"/>
      <c r="G122" s="359"/>
      <c r="H122" s="359"/>
      <c r="I122" s="359"/>
      <c r="J122" s="359"/>
      <c r="K122" s="359"/>
      <c r="L122" s="359"/>
      <c r="M122" s="359"/>
      <c r="N122" s="359"/>
      <c r="O122" s="359"/>
      <c r="P122" s="359"/>
      <c r="Q122" s="359"/>
      <c r="R122" s="359"/>
      <c r="S122" s="359"/>
      <c r="T122" s="359"/>
      <c r="U122" s="359"/>
      <c r="V122" s="359"/>
      <c r="W122" s="359"/>
      <c r="X122" s="359"/>
      <c r="Y122" s="359"/>
      <c r="Z122" s="359"/>
      <c r="AA122" s="359"/>
      <c r="AB122" s="359"/>
      <c r="AC122" s="359"/>
      <c r="AD122" s="359"/>
      <c r="AE122" s="359"/>
      <c r="AF122" s="359"/>
      <c r="AG122" s="359"/>
      <c r="AH122" s="359"/>
    </row>
    <row r="123" spans="1:34">
      <c r="A123" s="359"/>
      <c r="B123" s="359"/>
      <c r="C123" s="359"/>
      <c r="D123" s="359"/>
      <c r="E123" s="359"/>
      <c r="F123" s="359"/>
      <c r="G123" s="359"/>
      <c r="H123" s="359"/>
      <c r="I123" s="359"/>
      <c r="J123" s="359"/>
      <c r="K123" s="359"/>
      <c r="L123" s="359"/>
      <c r="M123" s="359"/>
      <c r="N123" s="359"/>
      <c r="O123" s="359"/>
      <c r="P123" s="359"/>
      <c r="Q123" s="359"/>
      <c r="R123" s="359"/>
      <c r="S123" s="359"/>
      <c r="T123" s="359"/>
      <c r="U123" s="359"/>
      <c r="V123" s="359"/>
      <c r="W123" s="359"/>
      <c r="X123" s="359"/>
      <c r="Y123" s="359"/>
      <c r="Z123" s="359"/>
      <c r="AA123" s="359"/>
      <c r="AB123" s="359"/>
      <c r="AC123" s="359"/>
      <c r="AD123" s="359"/>
      <c r="AE123" s="359"/>
      <c r="AF123" s="359"/>
      <c r="AG123" s="359"/>
      <c r="AH123" s="359"/>
    </row>
    <row r="124" spans="1:34">
      <c r="A124" s="359"/>
      <c r="B124" s="359"/>
      <c r="C124" s="359"/>
      <c r="D124" s="359"/>
      <c r="E124" s="359"/>
      <c r="F124" s="359"/>
      <c r="G124" s="359"/>
      <c r="H124" s="359"/>
      <c r="I124" s="359"/>
      <c r="J124" s="359"/>
      <c r="K124" s="359"/>
      <c r="L124" s="359"/>
      <c r="M124" s="359"/>
      <c r="N124" s="359"/>
      <c r="O124" s="359"/>
      <c r="P124" s="359"/>
      <c r="Q124" s="359"/>
      <c r="R124" s="359"/>
      <c r="S124" s="359"/>
      <c r="T124" s="359"/>
      <c r="U124" s="359"/>
      <c r="V124" s="359"/>
      <c r="W124" s="359"/>
      <c r="X124" s="359"/>
      <c r="Y124" s="359"/>
      <c r="Z124" s="359"/>
      <c r="AA124" s="359"/>
      <c r="AB124" s="359"/>
      <c r="AC124" s="359"/>
      <c r="AD124" s="359"/>
      <c r="AE124" s="359"/>
      <c r="AF124" s="359"/>
      <c r="AG124" s="359"/>
      <c r="AH124" s="359"/>
    </row>
    <row r="125" spans="1:34">
      <c r="A125" s="359"/>
      <c r="B125" s="359"/>
      <c r="C125" s="359"/>
      <c r="D125" s="359"/>
      <c r="E125" s="359"/>
      <c r="F125" s="359"/>
      <c r="G125" s="359"/>
      <c r="H125" s="359"/>
      <c r="I125" s="359"/>
      <c r="J125" s="359"/>
      <c r="K125" s="359"/>
      <c r="L125" s="359"/>
      <c r="M125" s="359"/>
      <c r="N125" s="359"/>
      <c r="O125" s="359"/>
      <c r="P125" s="359"/>
      <c r="Q125" s="359"/>
      <c r="R125" s="359"/>
      <c r="S125" s="359"/>
      <c r="T125" s="359"/>
      <c r="U125" s="359"/>
      <c r="V125" s="359"/>
      <c r="W125" s="359"/>
      <c r="X125" s="359"/>
      <c r="Y125" s="359"/>
      <c r="Z125" s="359"/>
      <c r="AA125" s="359"/>
      <c r="AB125" s="359"/>
      <c r="AC125" s="359"/>
      <c r="AD125" s="359"/>
      <c r="AE125" s="359"/>
      <c r="AF125" s="359"/>
      <c r="AG125" s="359"/>
      <c r="AH125" s="359"/>
    </row>
    <row r="126" spans="1:34">
      <c r="A126" s="359"/>
      <c r="B126" s="359"/>
      <c r="C126" s="359"/>
      <c r="D126" s="359"/>
      <c r="E126" s="359"/>
      <c r="F126" s="359"/>
      <c r="G126" s="359"/>
      <c r="H126" s="359"/>
      <c r="I126" s="359"/>
      <c r="J126" s="359"/>
      <c r="K126" s="359"/>
      <c r="L126" s="359"/>
      <c r="M126" s="359"/>
      <c r="N126" s="359"/>
      <c r="O126" s="359"/>
      <c r="P126" s="359"/>
      <c r="Q126" s="359"/>
      <c r="R126" s="359"/>
      <c r="S126" s="359"/>
      <c r="T126" s="359"/>
      <c r="U126" s="359"/>
      <c r="V126" s="359"/>
      <c r="W126" s="359"/>
      <c r="X126" s="359"/>
      <c r="Y126" s="359"/>
      <c r="Z126" s="359"/>
      <c r="AA126" s="359"/>
      <c r="AB126" s="359"/>
      <c r="AC126" s="359"/>
      <c r="AD126" s="359"/>
      <c r="AE126" s="359"/>
      <c r="AF126" s="359"/>
      <c r="AG126" s="359"/>
      <c r="AH126" s="359"/>
    </row>
    <row r="127" spans="1:34">
      <c r="A127" s="359"/>
      <c r="B127" s="359"/>
      <c r="C127" s="359"/>
      <c r="D127" s="359"/>
      <c r="E127" s="359"/>
      <c r="F127" s="359"/>
      <c r="G127" s="359"/>
      <c r="H127" s="359"/>
      <c r="I127" s="359"/>
      <c r="J127" s="359"/>
      <c r="K127" s="359"/>
      <c r="L127" s="359"/>
      <c r="M127" s="359"/>
      <c r="N127" s="359"/>
      <c r="O127" s="359"/>
      <c r="P127" s="359"/>
      <c r="Q127" s="359"/>
      <c r="R127" s="359"/>
      <c r="S127" s="359"/>
      <c r="T127" s="359"/>
      <c r="U127" s="359"/>
      <c r="V127" s="359"/>
      <c r="W127" s="359"/>
      <c r="X127" s="359"/>
      <c r="Y127" s="359"/>
      <c r="Z127" s="359"/>
      <c r="AA127" s="359"/>
      <c r="AB127" s="359"/>
      <c r="AC127" s="359"/>
      <c r="AD127" s="359"/>
      <c r="AE127" s="359"/>
      <c r="AF127" s="359"/>
      <c r="AG127" s="359"/>
      <c r="AH127" s="359"/>
    </row>
    <row r="128" spans="1:34">
      <c r="A128" s="359"/>
      <c r="B128" s="359"/>
      <c r="C128" s="359"/>
      <c r="D128" s="359"/>
      <c r="E128" s="359"/>
      <c r="F128" s="359"/>
      <c r="G128" s="359"/>
      <c r="H128" s="359"/>
      <c r="I128" s="359"/>
      <c r="J128" s="359"/>
      <c r="K128" s="359"/>
      <c r="L128" s="359"/>
      <c r="M128" s="359"/>
      <c r="N128" s="359"/>
      <c r="O128" s="359"/>
      <c r="P128" s="359"/>
      <c r="Q128" s="359"/>
      <c r="R128" s="359"/>
      <c r="S128" s="359"/>
      <c r="T128" s="359"/>
      <c r="U128" s="359"/>
      <c r="V128" s="359"/>
      <c r="W128" s="359"/>
      <c r="X128" s="359"/>
      <c r="Y128" s="359"/>
      <c r="Z128" s="359"/>
      <c r="AA128" s="359"/>
      <c r="AB128" s="359"/>
      <c r="AC128" s="359"/>
      <c r="AD128" s="359"/>
      <c r="AE128" s="359"/>
      <c r="AF128" s="359"/>
      <c r="AG128" s="359"/>
      <c r="AH128" s="359"/>
    </row>
    <row r="129" spans="1:34">
      <c r="A129" s="359"/>
      <c r="B129" s="359"/>
      <c r="C129" s="359"/>
      <c r="D129" s="359"/>
      <c r="E129" s="359"/>
      <c r="F129" s="359"/>
      <c r="G129" s="359"/>
      <c r="H129" s="359"/>
      <c r="I129" s="359"/>
      <c r="J129" s="359"/>
      <c r="K129" s="359"/>
      <c r="L129" s="359"/>
      <c r="M129" s="359"/>
      <c r="N129" s="359"/>
      <c r="O129" s="359"/>
      <c r="P129" s="359"/>
      <c r="Q129" s="359"/>
      <c r="R129" s="359"/>
      <c r="S129" s="359"/>
      <c r="T129" s="359"/>
      <c r="U129" s="359"/>
      <c r="V129" s="359"/>
      <c r="W129" s="359"/>
      <c r="X129" s="359"/>
      <c r="Y129" s="359"/>
      <c r="Z129" s="359"/>
      <c r="AA129" s="359"/>
      <c r="AB129" s="359"/>
      <c r="AC129" s="359"/>
      <c r="AD129" s="359"/>
      <c r="AE129" s="359"/>
      <c r="AF129" s="359"/>
      <c r="AG129" s="359"/>
      <c r="AH129" s="359"/>
    </row>
    <row r="130" spans="1:34">
      <c r="A130" s="359"/>
      <c r="B130" s="359"/>
      <c r="C130" s="359"/>
      <c r="D130" s="359"/>
      <c r="E130" s="359"/>
      <c r="F130" s="359"/>
      <c r="G130" s="359"/>
      <c r="H130" s="359"/>
      <c r="I130" s="359"/>
      <c r="J130" s="359"/>
      <c r="K130" s="359"/>
      <c r="L130" s="359"/>
      <c r="M130" s="359"/>
      <c r="N130" s="359"/>
      <c r="O130" s="359"/>
      <c r="P130" s="359"/>
      <c r="Q130" s="359"/>
      <c r="R130" s="359"/>
      <c r="S130" s="359"/>
      <c r="T130" s="359"/>
      <c r="U130" s="359"/>
      <c r="V130" s="359"/>
      <c r="W130" s="359"/>
      <c r="X130" s="359"/>
      <c r="Y130" s="359"/>
      <c r="Z130" s="359"/>
      <c r="AA130" s="359"/>
      <c r="AB130" s="359"/>
      <c r="AC130" s="359"/>
      <c r="AD130" s="359"/>
      <c r="AE130" s="359"/>
      <c r="AF130" s="359"/>
      <c r="AG130" s="359"/>
      <c r="AH130" s="359"/>
    </row>
    <row r="131" spans="1:34">
      <c r="A131" s="359"/>
      <c r="B131" s="359"/>
      <c r="C131" s="359"/>
      <c r="D131" s="359"/>
      <c r="E131" s="359"/>
      <c r="F131" s="359"/>
      <c r="G131" s="359"/>
      <c r="H131" s="359"/>
      <c r="I131" s="359"/>
      <c r="J131" s="359"/>
      <c r="K131" s="359"/>
      <c r="L131" s="359"/>
      <c r="M131" s="359"/>
      <c r="N131" s="359"/>
      <c r="O131" s="359"/>
      <c r="P131" s="359"/>
      <c r="Q131" s="359"/>
      <c r="R131" s="359"/>
      <c r="S131" s="359"/>
      <c r="T131" s="359"/>
      <c r="U131" s="359"/>
      <c r="V131" s="359"/>
      <c r="W131" s="359"/>
      <c r="X131" s="359"/>
      <c r="Y131" s="359"/>
      <c r="Z131" s="359"/>
      <c r="AA131" s="359"/>
      <c r="AB131" s="359"/>
      <c r="AC131" s="359"/>
      <c r="AD131" s="359"/>
      <c r="AE131" s="359"/>
      <c r="AF131" s="359"/>
      <c r="AG131" s="359"/>
      <c r="AH131" s="359"/>
    </row>
    <row r="132" spans="1:34">
      <c r="A132" s="359"/>
      <c r="B132" s="359"/>
      <c r="C132" s="359"/>
      <c r="D132" s="359"/>
      <c r="E132" s="359"/>
      <c r="F132" s="359"/>
      <c r="G132" s="359"/>
      <c r="H132" s="359"/>
      <c r="I132" s="359"/>
      <c r="J132" s="359"/>
      <c r="K132" s="359"/>
      <c r="L132" s="359"/>
      <c r="M132" s="359"/>
      <c r="N132" s="359"/>
      <c r="O132" s="359"/>
      <c r="P132" s="359"/>
      <c r="Q132" s="359"/>
      <c r="R132" s="359"/>
      <c r="S132" s="359"/>
      <c r="T132" s="359"/>
      <c r="U132" s="359"/>
      <c r="V132" s="359"/>
      <c r="W132" s="359"/>
      <c r="X132" s="359"/>
      <c r="Y132" s="359"/>
      <c r="Z132" s="359"/>
      <c r="AA132" s="359"/>
      <c r="AB132" s="359"/>
      <c r="AC132" s="359"/>
      <c r="AD132" s="359"/>
      <c r="AE132" s="359"/>
      <c r="AF132" s="359"/>
      <c r="AG132" s="359"/>
      <c r="AH132" s="359"/>
    </row>
    <row r="133" spans="1:34">
      <c r="A133" s="359"/>
      <c r="B133" s="359"/>
      <c r="C133" s="359"/>
      <c r="D133" s="359"/>
      <c r="E133" s="359"/>
      <c r="F133" s="359"/>
      <c r="G133" s="359"/>
      <c r="H133" s="359"/>
      <c r="I133" s="359"/>
      <c r="J133" s="359"/>
      <c r="K133" s="359"/>
      <c r="L133" s="359"/>
      <c r="M133" s="359"/>
      <c r="N133" s="359"/>
      <c r="O133" s="359"/>
      <c r="P133" s="359"/>
      <c r="Q133" s="359"/>
      <c r="R133" s="359"/>
      <c r="S133" s="359"/>
      <c r="T133" s="359"/>
      <c r="U133" s="359"/>
      <c r="V133" s="359"/>
      <c r="W133" s="359"/>
      <c r="X133" s="359"/>
      <c r="Y133" s="359"/>
      <c r="Z133" s="359"/>
      <c r="AA133" s="359"/>
      <c r="AB133" s="359"/>
      <c r="AC133" s="359"/>
      <c r="AD133" s="359"/>
      <c r="AE133" s="359"/>
      <c r="AF133" s="359"/>
      <c r="AG133" s="359"/>
      <c r="AH133" s="359"/>
    </row>
    <row r="134" spans="1:34">
      <c r="A134" s="359"/>
      <c r="B134" s="359"/>
      <c r="C134" s="359"/>
      <c r="D134" s="359"/>
      <c r="E134" s="359"/>
      <c r="F134" s="359"/>
      <c r="G134" s="359"/>
      <c r="H134" s="359"/>
      <c r="I134" s="359"/>
      <c r="J134" s="359"/>
      <c r="K134" s="359"/>
      <c r="L134" s="359"/>
      <c r="M134" s="359"/>
      <c r="N134" s="359"/>
      <c r="O134" s="359"/>
      <c r="P134" s="359"/>
      <c r="Q134" s="359"/>
      <c r="R134" s="359"/>
      <c r="S134" s="359"/>
      <c r="T134" s="359"/>
      <c r="U134" s="359"/>
      <c r="V134" s="359"/>
      <c r="W134" s="359"/>
      <c r="X134" s="359"/>
      <c r="Y134" s="359"/>
      <c r="Z134" s="359"/>
      <c r="AA134" s="359"/>
      <c r="AB134" s="359"/>
      <c r="AC134" s="359"/>
      <c r="AD134" s="359"/>
      <c r="AE134" s="359"/>
      <c r="AF134" s="359"/>
      <c r="AG134" s="359"/>
      <c r="AH134" s="359"/>
    </row>
    <row r="135" spans="1:34">
      <c r="A135" s="359"/>
      <c r="B135" s="359"/>
      <c r="C135" s="359"/>
      <c r="D135" s="359"/>
      <c r="E135" s="359"/>
      <c r="F135" s="359"/>
      <c r="G135" s="359"/>
      <c r="H135" s="359"/>
      <c r="I135" s="359"/>
      <c r="J135" s="359"/>
      <c r="K135" s="359"/>
      <c r="L135" s="359"/>
      <c r="M135" s="359"/>
      <c r="N135" s="359"/>
      <c r="O135" s="359"/>
      <c r="P135" s="359"/>
      <c r="Q135" s="359"/>
      <c r="R135" s="359"/>
      <c r="S135" s="359"/>
      <c r="T135" s="359"/>
      <c r="U135" s="359"/>
      <c r="V135" s="359"/>
      <c r="W135" s="359"/>
      <c r="X135" s="359"/>
      <c r="Y135" s="359"/>
      <c r="Z135" s="359"/>
      <c r="AA135" s="359"/>
      <c r="AB135" s="359"/>
      <c r="AC135" s="359"/>
      <c r="AD135" s="359"/>
      <c r="AE135" s="359"/>
      <c r="AF135" s="359"/>
      <c r="AG135" s="359"/>
      <c r="AH135" s="359"/>
    </row>
    <row r="136" spans="1:34">
      <c r="A136" s="359"/>
      <c r="B136" s="359"/>
      <c r="C136" s="359"/>
      <c r="D136" s="359"/>
      <c r="E136" s="359"/>
      <c r="F136" s="359"/>
      <c r="G136" s="359"/>
      <c r="H136" s="359"/>
      <c r="I136" s="359"/>
      <c r="J136" s="359"/>
      <c r="K136" s="359"/>
      <c r="L136" s="359"/>
      <c r="M136" s="359"/>
      <c r="N136" s="359"/>
      <c r="O136" s="359"/>
      <c r="P136" s="359"/>
      <c r="Q136" s="359"/>
      <c r="R136" s="359"/>
      <c r="S136" s="359"/>
      <c r="T136" s="359"/>
      <c r="U136" s="359"/>
      <c r="V136" s="359"/>
      <c r="W136" s="359"/>
      <c r="X136" s="359"/>
      <c r="Y136" s="359"/>
      <c r="Z136" s="359"/>
      <c r="AA136" s="359"/>
      <c r="AB136" s="359"/>
      <c r="AC136" s="359"/>
      <c r="AD136" s="359"/>
      <c r="AE136" s="359"/>
      <c r="AF136" s="359"/>
      <c r="AG136" s="359"/>
      <c r="AH136" s="359"/>
    </row>
    <row r="137" spans="1:34">
      <c r="A137" s="359"/>
      <c r="B137" s="359"/>
      <c r="C137" s="359"/>
      <c r="D137" s="359"/>
      <c r="E137" s="359"/>
      <c r="F137" s="359"/>
      <c r="G137" s="359"/>
      <c r="H137" s="359"/>
      <c r="I137" s="359"/>
      <c r="J137" s="359"/>
      <c r="K137" s="359"/>
      <c r="L137" s="359"/>
      <c r="M137" s="359"/>
      <c r="N137" s="359"/>
      <c r="O137" s="359"/>
      <c r="P137" s="359"/>
      <c r="Q137" s="359"/>
      <c r="R137" s="359"/>
      <c r="S137" s="359"/>
      <c r="T137" s="359"/>
      <c r="U137" s="359"/>
      <c r="V137" s="359"/>
      <c r="W137" s="359"/>
      <c r="X137" s="359"/>
      <c r="Y137" s="359"/>
      <c r="Z137" s="359"/>
      <c r="AA137" s="359"/>
      <c r="AB137" s="359"/>
      <c r="AC137" s="359"/>
      <c r="AD137" s="359"/>
      <c r="AE137" s="359"/>
      <c r="AF137" s="359"/>
      <c r="AG137" s="359"/>
      <c r="AH137" s="359"/>
    </row>
    <row r="138" spans="1:34">
      <c r="A138" s="359"/>
      <c r="B138" s="359"/>
      <c r="C138" s="359"/>
      <c r="D138" s="359"/>
      <c r="E138" s="359"/>
      <c r="F138" s="359"/>
      <c r="G138" s="359"/>
      <c r="H138" s="359"/>
      <c r="I138" s="359"/>
      <c r="J138" s="359"/>
      <c r="K138" s="359"/>
      <c r="L138" s="359"/>
      <c r="M138" s="359"/>
      <c r="N138" s="359"/>
      <c r="O138" s="359"/>
      <c r="P138" s="359"/>
      <c r="Q138" s="359"/>
      <c r="R138" s="359"/>
      <c r="S138" s="359"/>
      <c r="T138" s="359"/>
      <c r="U138" s="359"/>
      <c r="V138" s="359"/>
      <c r="W138" s="359"/>
      <c r="X138" s="359"/>
      <c r="Y138" s="359"/>
      <c r="Z138" s="359"/>
      <c r="AA138" s="359"/>
      <c r="AB138" s="359"/>
      <c r="AC138" s="359"/>
      <c r="AD138" s="359"/>
      <c r="AE138" s="359"/>
      <c r="AF138" s="359"/>
      <c r="AG138" s="359"/>
      <c r="AH138" s="359"/>
    </row>
    <row r="139" spans="1:34">
      <c r="A139" s="359"/>
      <c r="B139" s="359"/>
      <c r="C139" s="359"/>
      <c r="D139" s="359"/>
      <c r="E139" s="359"/>
      <c r="F139" s="359"/>
      <c r="G139" s="359"/>
      <c r="H139" s="359"/>
      <c r="I139" s="359"/>
      <c r="J139" s="359"/>
      <c r="K139" s="359"/>
      <c r="L139" s="359"/>
      <c r="M139" s="359"/>
      <c r="N139" s="359"/>
      <c r="O139" s="359"/>
      <c r="P139" s="359"/>
      <c r="Q139" s="359"/>
      <c r="R139" s="359"/>
      <c r="S139" s="359"/>
      <c r="T139" s="359"/>
      <c r="U139" s="359"/>
      <c r="V139" s="359"/>
      <c r="W139" s="359"/>
      <c r="X139" s="359"/>
      <c r="Y139" s="359"/>
      <c r="Z139" s="359"/>
      <c r="AA139" s="359"/>
      <c r="AB139" s="359"/>
      <c r="AC139" s="359"/>
      <c r="AD139" s="359"/>
      <c r="AE139" s="359"/>
      <c r="AF139" s="359"/>
      <c r="AG139" s="359"/>
      <c r="AH139" s="359"/>
    </row>
    <row r="140" spans="1:34">
      <c r="A140" s="359"/>
      <c r="B140" s="359"/>
      <c r="C140" s="359"/>
      <c r="D140" s="359"/>
      <c r="E140" s="359"/>
      <c r="F140" s="359"/>
      <c r="G140" s="359"/>
      <c r="H140" s="359"/>
      <c r="I140" s="359"/>
      <c r="J140" s="359"/>
      <c r="K140" s="359"/>
      <c r="L140" s="359"/>
      <c r="M140" s="359"/>
      <c r="N140" s="359"/>
      <c r="O140" s="359"/>
      <c r="P140" s="359"/>
      <c r="Q140" s="359"/>
      <c r="R140" s="359"/>
      <c r="S140" s="359"/>
      <c r="T140" s="359"/>
      <c r="U140" s="359"/>
      <c r="V140" s="359"/>
      <c r="W140" s="359"/>
      <c r="X140" s="359"/>
      <c r="Y140" s="359"/>
      <c r="Z140" s="359"/>
      <c r="AA140" s="359"/>
      <c r="AB140" s="359"/>
      <c r="AC140" s="359"/>
      <c r="AD140" s="359"/>
      <c r="AE140" s="359"/>
      <c r="AF140" s="359"/>
      <c r="AG140" s="359"/>
      <c r="AH140" s="359"/>
    </row>
    <row r="141" spans="1:34">
      <c r="A141" s="359"/>
      <c r="B141" s="359"/>
      <c r="C141" s="359"/>
      <c r="D141" s="359"/>
      <c r="E141" s="359"/>
      <c r="F141" s="359"/>
      <c r="G141" s="359"/>
      <c r="H141" s="359"/>
      <c r="I141" s="359"/>
      <c r="J141" s="359"/>
      <c r="K141" s="359"/>
      <c r="L141" s="359"/>
      <c r="M141" s="359"/>
      <c r="N141" s="359"/>
      <c r="O141" s="359"/>
      <c r="P141" s="359"/>
      <c r="Q141" s="359"/>
      <c r="R141" s="359"/>
      <c r="S141" s="359"/>
      <c r="T141" s="359"/>
      <c r="U141" s="359"/>
      <c r="V141" s="359"/>
      <c r="W141" s="359"/>
      <c r="X141" s="359"/>
      <c r="Y141" s="359"/>
      <c r="Z141" s="359"/>
      <c r="AA141" s="359"/>
      <c r="AB141" s="359"/>
      <c r="AC141" s="359"/>
      <c r="AD141" s="359"/>
      <c r="AE141" s="359"/>
      <c r="AF141" s="359"/>
      <c r="AG141" s="359"/>
      <c r="AH141" s="359"/>
    </row>
    <row r="142" spans="1:34">
      <c r="A142" s="359"/>
      <c r="B142" s="359"/>
      <c r="C142" s="359"/>
      <c r="D142" s="359"/>
      <c r="E142" s="359"/>
      <c r="F142" s="359"/>
      <c r="G142" s="359"/>
      <c r="H142" s="359"/>
      <c r="I142" s="359"/>
      <c r="J142" s="359"/>
      <c r="K142" s="359"/>
      <c r="L142" s="359"/>
      <c r="M142" s="359"/>
      <c r="N142" s="359"/>
      <c r="O142" s="359"/>
      <c r="P142" s="359"/>
      <c r="Q142" s="359"/>
      <c r="R142" s="359"/>
      <c r="S142" s="359"/>
      <c r="T142" s="359"/>
      <c r="U142" s="359"/>
      <c r="V142" s="359"/>
      <c r="W142" s="359"/>
      <c r="X142" s="359"/>
      <c r="Y142" s="359"/>
      <c r="Z142" s="359"/>
      <c r="AA142" s="359"/>
      <c r="AB142" s="359"/>
      <c r="AC142" s="359"/>
      <c r="AD142" s="359"/>
      <c r="AE142" s="359"/>
      <c r="AF142" s="359"/>
      <c r="AG142" s="359"/>
      <c r="AH142" s="359"/>
    </row>
    <row r="143" spans="1:34">
      <c r="A143" s="359"/>
      <c r="B143" s="359"/>
      <c r="C143" s="359"/>
      <c r="D143" s="359"/>
      <c r="E143" s="359"/>
      <c r="F143" s="359"/>
      <c r="G143" s="359"/>
      <c r="H143" s="359"/>
      <c r="I143" s="359"/>
      <c r="J143" s="359"/>
      <c r="K143" s="359"/>
      <c r="L143" s="359"/>
      <c r="M143" s="359"/>
      <c r="N143" s="359"/>
      <c r="O143" s="359"/>
      <c r="P143" s="359"/>
      <c r="Q143" s="359"/>
      <c r="R143" s="359"/>
      <c r="S143" s="359"/>
      <c r="T143" s="359"/>
      <c r="U143" s="359"/>
      <c r="V143" s="359"/>
      <c r="W143" s="359"/>
      <c r="X143" s="359"/>
      <c r="Y143" s="359"/>
      <c r="Z143" s="359"/>
      <c r="AA143" s="359"/>
      <c r="AB143" s="359"/>
      <c r="AC143" s="359"/>
      <c r="AD143" s="359"/>
      <c r="AE143" s="359"/>
      <c r="AF143" s="359"/>
      <c r="AG143" s="359"/>
      <c r="AH143" s="359"/>
    </row>
    <row r="144" spans="1:34">
      <c r="A144" s="359"/>
      <c r="B144" s="359"/>
      <c r="C144" s="359"/>
      <c r="D144" s="359"/>
      <c r="E144" s="359"/>
      <c r="F144" s="359"/>
      <c r="G144" s="359"/>
      <c r="H144" s="359"/>
      <c r="I144" s="359"/>
      <c r="J144" s="359"/>
      <c r="K144" s="359"/>
      <c r="L144" s="359"/>
      <c r="M144" s="359"/>
      <c r="N144" s="359"/>
      <c r="O144" s="359"/>
      <c r="P144" s="359"/>
      <c r="Q144" s="359"/>
      <c r="R144" s="359"/>
      <c r="S144" s="359"/>
      <c r="T144" s="359"/>
      <c r="U144" s="359"/>
      <c r="V144" s="359"/>
      <c r="W144" s="359"/>
      <c r="X144" s="359"/>
      <c r="Y144" s="359"/>
      <c r="Z144" s="359"/>
      <c r="AA144" s="359"/>
      <c r="AB144" s="359"/>
      <c r="AC144" s="359"/>
      <c r="AD144" s="359"/>
      <c r="AE144" s="359"/>
      <c r="AF144" s="359"/>
      <c r="AG144" s="359"/>
      <c r="AH144" s="359"/>
    </row>
    <row r="145" spans="1:34">
      <c r="A145" s="359"/>
      <c r="B145" s="359"/>
      <c r="C145" s="359"/>
      <c r="D145" s="359"/>
      <c r="E145" s="359"/>
      <c r="F145" s="359"/>
      <c r="G145" s="359"/>
      <c r="H145" s="359"/>
      <c r="I145" s="359"/>
      <c r="J145" s="359"/>
      <c r="K145" s="359"/>
      <c r="L145" s="359"/>
      <c r="M145" s="359"/>
      <c r="N145" s="359"/>
      <c r="O145" s="359"/>
      <c r="P145" s="359"/>
      <c r="Q145" s="359"/>
      <c r="R145" s="359"/>
      <c r="S145" s="359"/>
      <c r="T145" s="359"/>
      <c r="U145" s="359"/>
      <c r="V145" s="359"/>
      <c r="W145" s="359"/>
      <c r="X145" s="359"/>
      <c r="Y145" s="359"/>
      <c r="Z145" s="359"/>
      <c r="AA145" s="359"/>
      <c r="AB145" s="359"/>
      <c r="AC145" s="359"/>
      <c r="AD145" s="359"/>
      <c r="AE145" s="359"/>
      <c r="AF145" s="359"/>
      <c r="AG145" s="359"/>
      <c r="AH145" s="359"/>
    </row>
    <row r="146" spans="1:34">
      <c r="A146" s="359"/>
      <c r="B146" s="359"/>
      <c r="C146" s="359"/>
      <c r="D146" s="359"/>
      <c r="E146" s="359"/>
      <c r="F146" s="359"/>
      <c r="G146" s="359"/>
      <c r="H146" s="359"/>
      <c r="I146" s="359"/>
      <c r="J146" s="359"/>
      <c r="K146" s="359"/>
      <c r="L146" s="359"/>
      <c r="M146" s="359"/>
      <c r="N146" s="359"/>
      <c r="O146" s="359"/>
      <c r="P146" s="359"/>
      <c r="Q146" s="359"/>
      <c r="R146" s="359"/>
      <c r="S146" s="359"/>
      <c r="T146" s="359"/>
      <c r="U146" s="359"/>
      <c r="V146" s="359"/>
      <c r="W146" s="359"/>
      <c r="X146" s="359"/>
      <c r="Y146" s="359"/>
      <c r="Z146" s="359"/>
      <c r="AA146" s="359"/>
      <c r="AB146" s="359"/>
      <c r="AC146" s="359"/>
      <c r="AD146" s="359"/>
      <c r="AE146" s="359"/>
      <c r="AF146" s="359"/>
      <c r="AG146" s="359"/>
      <c r="AH146" s="359"/>
    </row>
    <row r="147" spans="1:34">
      <c r="A147" s="359"/>
      <c r="B147" s="359"/>
      <c r="C147" s="359"/>
      <c r="D147" s="359"/>
      <c r="E147" s="359"/>
      <c r="F147" s="359"/>
      <c r="G147" s="359"/>
      <c r="H147" s="359"/>
      <c r="I147" s="359"/>
      <c r="J147" s="359"/>
      <c r="K147" s="359"/>
      <c r="L147" s="359"/>
      <c r="M147" s="359"/>
      <c r="N147" s="359"/>
      <c r="O147" s="359"/>
      <c r="P147" s="359"/>
      <c r="Q147" s="359"/>
      <c r="R147" s="359"/>
      <c r="S147" s="359"/>
      <c r="T147" s="359"/>
      <c r="U147" s="359"/>
      <c r="V147" s="359"/>
      <c r="W147" s="359"/>
      <c r="X147" s="359"/>
      <c r="Y147" s="359"/>
      <c r="Z147" s="359"/>
      <c r="AA147" s="359"/>
      <c r="AB147" s="359"/>
      <c r="AC147" s="359"/>
      <c r="AD147" s="359"/>
      <c r="AE147" s="359"/>
      <c r="AF147" s="359"/>
      <c r="AG147" s="359"/>
      <c r="AH147" s="359"/>
    </row>
    <row r="148" spans="1:34">
      <c r="A148" s="359"/>
      <c r="B148" s="359"/>
      <c r="C148" s="359"/>
      <c r="D148" s="359"/>
      <c r="E148" s="359"/>
      <c r="F148" s="359"/>
      <c r="G148" s="359"/>
      <c r="H148" s="359"/>
      <c r="I148" s="359"/>
      <c r="J148" s="359"/>
      <c r="K148" s="359"/>
      <c r="L148" s="359"/>
      <c r="M148" s="359"/>
      <c r="N148" s="359"/>
      <c r="O148" s="359"/>
      <c r="P148" s="359"/>
      <c r="Q148" s="359"/>
      <c r="R148" s="359"/>
      <c r="S148" s="359"/>
      <c r="T148" s="359"/>
      <c r="U148" s="359"/>
      <c r="V148" s="359"/>
      <c r="W148" s="359"/>
      <c r="X148" s="359"/>
      <c r="Y148" s="359"/>
      <c r="Z148" s="359"/>
      <c r="AA148" s="359"/>
      <c r="AB148" s="359"/>
      <c r="AC148" s="359"/>
      <c r="AD148" s="359"/>
      <c r="AE148" s="359"/>
      <c r="AF148" s="359"/>
      <c r="AG148" s="359"/>
      <c r="AH148" s="359"/>
    </row>
    <row r="149" spans="1:34">
      <c r="A149" s="359"/>
      <c r="B149" s="359"/>
      <c r="C149" s="359"/>
      <c r="D149" s="359"/>
      <c r="E149" s="359"/>
      <c r="F149" s="359"/>
      <c r="G149" s="359"/>
      <c r="H149" s="359"/>
      <c r="I149" s="359"/>
      <c r="J149" s="359"/>
      <c r="K149" s="359"/>
      <c r="L149" s="359"/>
      <c r="M149" s="359"/>
      <c r="N149" s="359"/>
      <c r="O149" s="359"/>
      <c r="P149" s="359"/>
      <c r="Q149" s="359"/>
      <c r="R149" s="359"/>
      <c r="S149" s="359"/>
      <c r="T149" s="359"/>
      <c r="U149" s="359"/>
      <c r="V149" s="359"/>
      <c r="W149" s="359"/>
      <c r="X149" s="359"/>
      <c r="Y149" s="359"/>
      <c r="Z149" s="359"/>
      <c r="AA149" s="359"/>
      <c r="AB149" s="359"/>
      <c r="AC149" s="359"/>
      <c r="AD149" s="359"/>
      <c r="AE149" s="359"/>
      <c r="AF149" s="359"/>
      <c r="AG149" s="359"/>
      <c r="AH149" s="359"/>
    </row>
    <row r="150" spans="1:34">
      <c r="A150" s="359"/>
      <c r="B150" s="359"/>
      <c r="C150" s="359"/>
      <c r="D150" s="359"/>
      <c r="E150" s="359"/>
      <c r="F150" s="359"/>
      <c r="G150" s="359"/>
      <c r="H150" s="359"/>
      <c r="I150" s="359"/>
      <c r="J150" s="359"/>
      <c r="K150" s="359"/>
      <c r="L150" s="359"/>
      <c r="M150" s="359"/>
      <c r="N150" s="359"/>
      <c r="O150" s="359"/>
      <c r="P150" s="359"/>
      <c r="Q150" s="359"/>
      <c r="R150" s="359"/>
      <c r="S150" s="359"/>
      <c r="T150" s="359"/>
      <c r="U150" s="359"/>
      <c r="V150" s="359"/>
      <c r="W150" s="359"/>
      <c r="X150" s="359"/>
      <c r="Y150" s="359"/>
      <c r="Z150" s="359"/>
      <c r="AA150" s="359"/>
      <c r="AB150" s="359"/>
      <c r="AC150" s="359"/>
      <c r="AD150" s="359"/>
      <c r="AE150" s="359"/>
      <c r="AF150" s="359"/>
      <c r="AG150" s="359"/>
      <c r="AH150" s="359"/>
    </row>
    <row r="151" spans="1:34">
      <c r="A151" s="359"/>
      <c r="B151" s="359"/>
      <c r="C151" s="359"/>
      <c r="D151" s="359"/>
      <c r="E151" s="359"/>
      <c r="F151" s="359"/>
      <c r="G151" s="359"/>
      <c r="H151" s="359"/>
      <c r="I151" s="359"/>
      <c r="J151" s="359"/>
      <c r="K151" s="359"/>
      <c r="L151" s="359"/>
      <c r="M151" s="359"/>
      <c r="N151" s="359"/>
      <c r="O151" s="359"/>
      <c r="P151" s="359"/>
      <c r="Q151" s="359"/>
      <c r="R151" s="359"/>
      <c r="S151" s="359"/>
      <c r="T151" s="359"/>
      <c r="U151" s="359"/>
      <c r="V151" s="359"/>
      <c r="W151" s="359"/>
      <c r="X151" s="359"/>
      <c r="Y151" s="359"/>
      <c r="Z151" s="359"/>
      <c r="AA151" s="359"/>
      <c r="AB151" s="359"/>
      <c r="AC151" s="359"/>
      <c r="AD151" s="359"/>
      <c r="AE151" s="359"/>
      <c r="AF151" s="359"/>
      <c r="AG151" s="359"/>
      <c r="AH151" s="359"/>
    </row>
    <row r="152" spans="1:34">
      <c r="A152" s="359"/>
      <c r="B152" s="359"/>
      <c r="C152" s="359"/>
      <c r="D152" s="359"/>
      <c r="E152" s="359"/>
      <c r="F152" s="359"/>
      <c r="G152" s="359"/>
      <c r="H152" s="359"/>
      <c r="I152" s="359"/>
      <c r="J152" s="359"/>
      <c r="K152" s="359"/>
      <c r="L152" s="359"/>
      <c r="M152" s="359"/>
      <c r="N152" s="359"/>
      <c r="O152" s="359"/>
      <c r="P152" s="359"/>
      <c r="Q152" s="359"/>
      <c r="R152" s="359"/>
      <c r="S152" s="359"/>
      <c r="T152" s="359"/>
      <c r="U152" s="359"/>
      <c r="V152" s="359"/>
      <c r="W152" s="359"/>
      <c r="X152" s="359"/>
      <c r="Y152" s="359"/>
      <c r="Z152" s="359"/>
      <c r="AA152" s="359"/>
      <c r="AB152" s="359"/>
      <c r="AC152" s="359"/>
      <c r="AD152" s="359"/>
      <c r="AE152" s="359"/>
      <c r="AF152" s="359"/>
      <c r="AG152" s="359"/>
      <c r="AH152" s="359"/>
    </row>
    <row r="153" spans="1:34">
      <c r="A153" s="359"/>
      <c r="B153" s="359"/>
      <c r="C153" s="359"/>
      <c r="D153" s="359"/>
      <c r="E153" s="359"/>
      <c r="F153" s="359"/>
      <c r="G153" s="359"/>
      <c r="H153" s="359"/>
      <c r="I153" s="359"/>
      <c r="J153" s="359"/>
      <c r="K153" s="359"/>
      <c r="L153" s="359"/>
      <c r="M153" s="359"/>
      <c r="N153" s="359"/>
      <c r="O153" s="359"/>
      <c r="P153" s="359"/>
      <c r="Q153" s="359"/>
      <c r="R153" s="359"/>
      <c r="S153" s="359"/>
      <c r="T153" s="359"/>
      <c r="U153" s="359"/>
      <c r="V153" s="359"/>
      <c r="W153" s="359"/>
      <c r="X153" s="359"/>
      <c r="Y153" s="359"/>
      <c r="Z153" s="359"/>
      <c r="AA153" s="359"/>
      <c r="AB153" s="359"/>
      <c r="AC153" s="359"/>
      <c r="AD153" s="359"/>
      <c r="AE153" s="359"/>
      <c r="AF153" s="359"/>
      <c r="AG153" s="359"/>
      <c r="AH153" s="359"/>
    </row>
    <row r="154" spans="1:34">
      <c r="A154" s="359"/>
      <c r="B154" s="359"/>
      <c r="C154" s="359"/>
      <c r="D154" s="359"/>
      <c r="E154" s="359"/>
      <c r="F154" s="359"/>
      <c r="G154" s="359"/>
      <c r="H154" s="359"/>
      <c r="I154" s="359"/>
      <c r="J154" s="359"/>
      <c r="K154" s="359"/>
      <c r="L154" s="359"/>
      <c r="M154" s="359"/>
      <c r="N154" s="359"/>
      <c r="O154" s="359"/>
      <c r="P154" s="359"/>
      <c r="Q154" s="359"/>
      <c r="R154" s="359"/>
      <c r="S154" s="359"/>
      <c r="T154" s="359"/>
      <c r="U154" s="359"/>
      <c r="V154" s="359"/>
      <c r="W154" s="359"/>
      <c r="X154" s="359"/>
      <c r="Y154" s="359"/>
      <c r="Z154" s="359"/>
      <c r="AA154" s="359"/>
      <c r="AB154" s="359"/>
      <c r="AC154" s="359"/>
      <c r="AD154" s="359"/>
      <c r="AE154" s="359"/>
      <c r="AF154" s="359"/>
      <c r="AG154" s="359"/>
      <c r="AH154" s="359"/>
    </row>
    <row r="155" spans="1:34">
      <c r="A155" s="359"/>
      <c r="B155" s="359"/>
      <c r="C155" s="359"/>
      <c r="D155" s="359"/>
      <c r="E155" s="359"/>
      <c r="F155" s="359"/>
      <c r="G155" s="359"/>
      <c r="H155" s="359"/>
      <c r="I155" s="359"/>
      <c r="J155" s="359"/>
      <c r="K155" s="359"/>
      <c r="L155" s="359"/>
      <c r="M155" s="359"/>
      <c r="N155" s="359"/>
      <c r="O155" s="359"/>
      <c r="P155" s="359"/>
      <c r="Q155" s="359"/>
      <c r="R155" s="359"/>
      <c r="S155" s="359"/>
      <c r="T155" s="359"/>
      <c r="U155" s="359"/>
      <c r="V155" s="359"/>
      <c r="W155" s="359"/>
      <c r="X155" s="359"/>
      <c r="Y155" s="359"/>
      <c r="Z155" s="359"/>
      <c r="AA155" s="359"/>
      <c r="AB155" s="359"/>
      <c r="AC155" s="359"/>
      <c r="AD155" s="359"/>
      <c r="AE155" s="359"/>
      <c r="AF155" s="359"/>
      <c r="AG155" s="359"/>
      <c r="AH155" s="359"/>
    </row>
    <row r="156" spans="1:34">
      <c r="A156" s="359"/>
      <c r="B156" s="359"/>
      <c r="C156" s="359"/>
      <c r="D156" s="359"/>
      <c r="E156" s="359"/>
      <c r="F156" s="359"/>
      <c r="G156" s="359"/>
      <c r="H156" s="359"/>
      <c r="I156" s="359"/>
      <c r="J156" s="359"/>
      <c r="K156" s="359"/>
      <c r="L156" s="359"/>
      <c r="M156" s="359"/>
      <c r="N156" s="359"/>
      <c r="O156" s="359"/>
      <c r="P156" s="359"/>
      <c r="Q156" s="359"/>
      <c r="R156" s="359"/>
      <c r="S156" s="359"/>
      <c r="T156" s="359"/>
      <c r="U156" s="359"/>
      <c r="V156" s="359"/>
      <c r="W156" s="359"/>
      <c r="X156" s="359"/>
      <c r="Y156" s="359"/>
      <c r="Z156" s="359"/>
      <c r="AA156" s="359"/>
      <c r="AB156" s="359"/>
      <c r="AC156" s="359"/>
      <c r="AD156" s="359"/>
      <c r="AE156" s="359"/>
      <c r="AF156" s="359"/>
      <c r="AG156" s="359"/>
      <c r="AH156" s="359"/>
    </row>
    <row r="157" spans="1:34">
      <c r="A157" s="359"/>
      <c r="B157" s="359"/>
      <c r="C157" s="359"/>
      <c r="D157" s="359"/>
      <c r="E157" s="359"/>
      <c r="F157" s="359"/>
      <c r="G157" s="359"/>
      <c r="H157" s="359"/>
      <c r="I157" s="359"/>
      <c r="J157" s="359"/>
      <c r="K157" s="359"/>
      <c r="L157" s="359"/>
      <c r="M157" s="359"/>
      <c r="N157" s="359"/>
      <c r="O157" s="359"/>
      <c r="P157" s="359"/>
      <c r="Q157" s="359"/>
      <c r="R157" s="359"/>
      <c r="S157" s="359"/>
      <c r="T157" s="359"/>
      <c r="U157" s="359"/>
      <c r="V157" s="359"/>
      <c r="W157" s="359"/>
      <c r="X157" s="359"/>
      <c r="Y157" s="359"/>
      <c r="Z157" s="359"/>
      <c r="AA157" s="359"/>
      <c r="AB157" s="359"/>
      <c r="AC157" s="359"/>
      <c r="AD157" s="359"/>
      <c r="AE157" s="359"/>
      <c r="AF157" s="359"/>
      <c r="AG157" s="359"/>
      <c r="AH157" s="359"/>
    </row>
    <row r="158" spans="1:34">
      <c r="A158" s="359"/>
      <c r="B158" s="359"/>
      <c r="C158" s="359"/>
      <c r="D158" s="359"/>
      <c r="E158" s="359"/>
      <c r="F158" s="359"/>
      <c r="G158" s="359"/>
      <c r="H158" s="359"/>
      <c r="I158" s="359"/>
      <c r="J158" s="359"/>
      <c r="K158" s="359"/>
      <c r="L158" s="359"/>
      <c r="M158" s="359"/>
      <c r="N158" s="359"/>
      <c r="O158" s="359"/>
      <c r="P158" s="359"/>
      <c r="Q158" s="359"/>
      <c r="R158" s="359"/>
      <c r="S158" s="359"/>
      <c r="T158" s="359"/>
      <c r="U158" s="359"/>
      <c r="V158" s="359"/>
      <c r="W158" s="359"/>
      <c r="X158" s="359"/>
      <c r="Y158" s="359"/>
      <c r="Z158" s="359"/>
      <c r="AA158" s="359"/>
      <c r="AB158" s="359"/>
      <c r="AC158" s="359"/>
      <c r="AD158" s="359"/>
      <c r="AE158" s="359"/>
      <c r="AF158" s="359"/>
      <c r="AG158" s="359"/>
      <c r="AH158" s="359"/>
    </row>
    <row r="159" spans="1:34">
      <c r="A159" s="359"/>
      <c r="B159" s="359"/>
      <c r="C159" s="359"/>
      <c r="D159" s="359"/>
      <c r="E159" s="359"/>
      <c r="F159" s="359"/>
      <c r="G159" s="359"/>
      <c r="H159" s="359"/>
      <c r="I159" s="359"/>
      <c r="J159" s="359"/>
      <c r="K159" s="359"/>
      <c r="L159" s="359"/>
      <c r="M159" s="359"/>
      <c r="N159" s="359"/>
      <c r="O159" s="359"/>
      <c r="P159" s="359"/>
      <c r="Q159" s="359"/>
      <c r="R159" s="359"/>
      <c r="S159" s="359"/>
      <c r="T159" s="359"/>
      <c r="U159" s="359"/>
      <c r="V159" s="359"/>
      <c r="W159" s="359"/>
      <c r="X159" s="359"/>
      <c r="Y159" s="359"/>
      <c r="Z159" s="359"/>
      <c r="AA159" s="359"/>
      <c r="AB159" s="359"/>
      <c r="AC159" s="359"/>
      <c r="AD159" s="359"/>
      <c r="AE159" s="359"/>
      <c r="AF159" s="359"/>
      <c r="AG159" s="359"/>
      <c r="AH159" s="359"/>
    </row>
    <row r="160" spans="1:34">
      <c r="A160" s="359"/>
      <c r="B160" s="359"/>
      <c r="C160" s="359"/>
      <c r="D160" s="359"/>
      <c r="E160" s="359"/>
      <c r="F160" s="359"/>
      <c r="G160" s="359"/>
      <c r="H160" s="359"/>
      <c r="I160" s="359"/>
      <c r="J160" s="359"/>
      <c r="K160" s="359"/>
      <c r="L160" s="359"/>
      <c r="M160" s="359"/>
      <c r="N160" s="359"/>
      <c r="O160" s="359"/>
      <c r="P160" s="359"/>
      <c r="Q160" s="359"/>
      <c r="R160" s="359"/>
      <c r="S160" s="359"/>
      <c r="T160" s="359"/>
      <c r="U160" s="359"/>
      <c r="V160" s="359"/>
      <c r="W160" s="359"/>
      <c r="X160" s="359"/>
      <c r="Y160" s="359"/>
      <c r="Z160" s="359"/>
      <c r="AA160" s="359"/>
      <c r="AB160" s="359"/>
      <c r="AC160" s="359"/>
      <c r="AD160" s="359"/>
      <c r="AE160" s="359"/>
      <c r="AF160" s="359"/>
      <c r="AG160" s="359"/>
      <c r="AH160" s="359"/>
    </row>
    <row r="161" spans="1:34">
      <c r="A161" s="359"/>
      <c r="B161" s="359"/>
      <c r="C161" s="359"/>
      <c r="D161" s="359"/>
      <c r="E161" s="359"/>
      <c r="F161" s="359"/>
      <c r="G161" s="359"/>
      <c r="H161" s="359"/>
      <c r="I161" s="359"/>
      <c r="J161" s="359"/>
      <c r="K161" s="359"/>
      <c r="L161" s="359"/>
      <c r="M161" s="359"/>
      <c r="N161" s="359"/>
      <c r="O161" s="359"/>
      <c r="P161" s="359"/>
      <c r="Q161" s="359"/>
      <c r="R161" s="359"/>
      <c r="S161" s="359"/>
      <c r="T161" s="359"/>
      <c r="U161" s="359"/>
      <c r="V161" s="359"/>
      <c r="W161" s="359"/>
      <c r="X161" s="359"/>
      <c r="Y161" s="359"/>
      <c r="Z161" s="359"/>
      <c r="AA161" s="359"/>
      <c r="AB161" s="359"/>
      <c r="AC161" s="359"/>
      <c r="AD161" s="359"/>
      <c r="AE161" s="359"/>
      <c r="AF161" s="359"/>
      <c r="AG161" s="359"/>
      <c r="AH161" s="359"/>
    </row>
    <row r="162" spans="1:34">
      <c r="A162" s="359"/>
      <c r="B162" s="359"/>
      <c r="C162" s="359"/>
      <c r="D162" s="359"/>
      <c r="E162" s="359"/>
      <c r="F162" s="359"/>
      <c r="G162" s="359"/>
      <c r="H162" s="359"/>
      <c r="I162" s="359"/>
      <c r="J162" s="359"/>
      <c r="K162" s="359"/>
      <c r="L162" s="359"/>
      <c r="M162" s="359"/>
      <c r="N162" s="359"/>
      <c r="O162" s="359"/>
      <c r="P162" s="359"/>
      <c r="Q162" s="359"/>
      <c r="R162" s="359"/>
      <c r="S162" s="359"/>
      <c r="T162" s="359"/>
      <c r="U162" s="359"/>
      <c r="V162" s="359"/>
      <c r="W162" s="359"/>
      <c r="X162" s="359"/>
      <c r="Y162" s="359"/>
      <c r="Z162" s="359"/>
      <c r="AA162" s="359"/>
      <c r="AB162" s="359"/>
      <c r="AC162" s="359"/>
      <c r="AD162" s="359"/>
      <c r="AE162" s="359"/>
      <c r="AF162" s="359"/>
      <c r="AG162" s="359"/>
      <c r="AH162" s="359"/>
    </row>
    <row r="163" spans="1:34">
      <c r="A163" s="359"/>
      <c r="B163" s="359"/>
      <c r="C163" s="359"/>
      <c r="D163" s="359"/>
      <c r="E163" s="359"/>
      <c r="F163" s="359"/>
      <c r="G163" s="359"/>
      <c r="H163" s="359"/>
      <c r="I163" s="359"/>
      <c r="J163" s="359"/>
      <c r="K163" s="359"/>
      <c r="L163" s="359"/>
      <c r="M163" s="359"/>
      <c r="N163" s="359"/>
      <c r="O163" s="359"/>
      <c r="P163" s="359"/>
      <c r="Q163" s="359"/>
      <c r="R163" s="359"/>
      <c r="S163" s="359"/>
      <c r="T163" s="359"/>
      <c r="U163" s="359"/>
      <c r="V163" s="359"/>
      <c r="W163" s="359"/>
      <c r="X163" s="359"/>
      <c r="Y163" s="359"/>
      <c r="Z163" s="359"/>
      <c r="AA163" s="359"/>
      <c r="AB163" s="359"/>
      <c r="AC163" s="359"/>
      <c r="AD163" s="359"/>
      <c r="AE163" s="359"/>
      <c r="AF163" s="359"/>
      <c r="AG163" s="359"/>
      <c r="AH163" s="359"/>
    </row>
    <row r="164" spans="1:34">
      <c r="A164" s="359"/>
      <c r="B164" s="359"/>
      <c r="C164" s="359"/>
      <c r="D164" s="359"/>
      <c r="E164" s="359"/>
      <c r="F164" s="359"/>
      <c r="G164" s="359"/>
      <c r="H164" s="359"/>
      <c r="I164" s="359"/>
      <c r="J164" s="359"/>
      <c r="K164" s="359"/>
      <c r="L164" s="359"/>
      <c r="M164" s="359"/>
      <c r="N164" s="359"/>
      <c r="O164" s="359"/>
      <c r="P164" s="359"/>
      <c r="Q164" s="359"/>
      <c r="R164" s="359"/>
      <c r="S164" s="359"/>
      <c r="T164" s="359"/>
      <c r="U164" s="359"/>
      <c r="V164" s="359"/>
      <c r="W164" s="359"/>
      <c r="X164" s="359"/>
      <c r="Y164" s="359"/>
      <c r="Z164" s="359"/>
      <c r="AA164" s="359"/>
      <c r="AB164" s="359"/>
      <c r="AC164" s="359"/>
      <c r="AD164" s="359"/>
      <c r="AE164" s="359"/>
      <c r="AF164" s="359"/>
      <c r="AG164" s="359"/>
      <c r="AH164" s="359"/>
    </row>
    <row r="165" spans="1:34">
      <c r="A165" s="359"/>
      <c r="B165" s="359"/>
      <c r="C165" s="359"/>
      <c r="D165" s="359"/>
      <c r="E165" s="359"/>
      <c r="F165" s="359"/>
      <c r="G165" s="359"/>
      <c r="H165" s="359"/>
      <c r="I165" s="359"/>
      <c r="J165" s="359"/>
      <c r="K165" s="359"/>
      <c r="L165" s="359"/>
      <c r="M165" s="359"/>
      <c r="N165" s="359"/>
      <c r="O165" s="359"/>
      <c r="P165" s="359"/>
      <c r="Q165" s="359"/>
      <c r="R165" s="359"/>
      <c r="S165" s="359"/>
      <c r="T165" s="359"/>
      <c r="U165" s="359"/>
      <c r="V165" s="359"/>
      <c r="W165" s="359"/>
      <c r="X165" s="359"/>
      <c r="Y165" s="359"/>
      <c r="Z165" s="359"/>
      <c r="AA165" s="359"/>
      <c r="AB165" s="359"/>
      <c r="AC165" s="359"/>
      <c r="AD165" s="359"/>
      <c r="AE165" s="359"/>
      <c r="AF165" s="359"/>
      <c r="AG165" s="359"/>
      <c r="AH165" s="359"/>
    </row>
    <row r="166" spans="1:34">
      <c r="A166" s="359"/>
      <c r="B166" s="359"/>
      <c r="C166" s="359"/>
      <c r="D166" s="359"/>
      <c r="E166" s="359"/>
      <c r="F166" s="359"/>
      <c r="G166" s="359"/>
      <c r="H166" s="359"/>
      <c r="I166" s="359"/>
      <c r="J166" s="359"/>
      <c r="K166" s="359"/>
      <c r="L166" s="359"/>
      <c r="M166" s="359"/>
      <c r="N166" s="359"/>
      <c r="O166" s="359"/>
      <c r="P166" s="359"/>
      <c r="Q166" s="359"/>
      <c r="R166" s="359"/>
      <c r="S166" s="359"/>
      <c r="T166" s="359"/>
      <c r="U166" s="359"/>
      <c r="V166" s="359"/>
      <c r="W166" s="359"/>
      <c r="X166" s="359"/>
      <c r="Y166" s="359"/>
      <c r="Z166" s="359"/>
      <c r="AA166" s="359"/>
      <c r="AB166" s="359"/>
      <c r="AC166" s="359"/>
      <c r="AD166" s="359"/>
      <c r="AE166" s="359"/>
      <c r="AF166" s="359"/>
      <c r="AG166" s="359"/>
      <c r="AH166" s="359"/>
    </row>
    <row r="167" spans="1:34">
      <c r="A167" s="359"/>
      <c r="B167" s="359"/>
      <c r="C167" s="359"/>
      <c r="D167" s="359"/>
      <c r="E167" s="359"/>
      <c r="F167" s="359"/>
      <c r="G167" s="359"/>
      <c r="H167" s="359"/>
      <c r="I167" s="359"/>
      <c r="J167" s="359"/>
      <c r="K167" s="359"/>
      <c r="L167" s="359"/>
      <c r="M167" s="359"/>
      <c r="N167" s="359"/>
      <c r="O167" s="359"/>
      <c r="P167" s="359"/>
      <c r="Q167" s="359"/>
      <c r="R167" s="359"/>
      <c r="S167" s="359"/>
      <c r="T167" s="359"/>
      <c r="U167" s="359"/>
      <c r="V167" s="359"/>
      <c r="W167" s="359"/>
      <c r="X167" s="359"/>
      <c r="Y167" s="359"/>
      <c r="Z167" s="359"/>
      <c r="AA167" s="359"/>
      <c r="AB167" s="359"/>
      <c r="AC167" s="359"/>
      <c r="AD167" s="359"/>
      <c r="AE167" s="359"/>
      <c r="AF167" s="359"/>
      <c r="AG167" s="359"/>
      <c r="AH167" s="359"/>
    </row>
    <row r="168" spans="1:34">
      <c r="A168" s="359"/>
      <c r="B168" s="359"/>
      <c r="C168" s="359"/>
      <c r="D168" s="359"/>
      <c r="E168" s="359"/>
      <c r="F168" s="359"/>
      <c r="G168" s="359"/>
      <c r="H168" s="359"/>
      <c r="I168" s="359"/>
      <c r="J168" s="359"/>
      <c r="K168" s="359"/>
      <c r="L168" s="359"/>
      <c r="M168" s="359"/>
      <c r="N168" s="359"/>
      <c r="O168" s="359"/>
      <c r="P168" s="359"/>
      <c r="Q168" s="359"/>
      <c r="R168" s="359"/>
      <c r="S168" s="359"/>
      <c r="T168" s="359"/>
      <c r="U168" s="359"/>
      <c r="V168" s="359"/>
      <c r="W168" s="359"/>
      <c r="X168" s="359"/>
      <c r="Y168" s="359"/>
      <c r="Z168" s="359"/>
      <c r="AA168" s="359"/>
      <c r="AB168" s="359"/>
      <c r="AC168" s="359"/>
      <c r="AD168" s="359"/>
      <c r="AE168" s="359"/>
      <c r="AF168" s="359"/>
      <c r="AG168" s="359"/>
      <c r="AH168" s="359"/>
    </row>
    <row r="169" spans="1:34">
      <c r="A169" s="359"/>
      <c r="B169" s="359"/>
      <c r="C169" s="359"/>
      <c r="D169" s="359"/>
      <c r="E169" s="359"/>
      <c r="F169" s="359"/>
      <c r="G169" s="359"/>
      <c r="H169" s="359"/>
      <c r="I169" s="359"/>
      <c r="J169" s="359"/>
      <c r="K169" s="359"/>
      <c r="L169" s="359"/>
      <c r="M169" s="359"/>
      <c r="N169" s="359"/>
      <c r="O169" s="359"/>
      <c r="P169" s="359"/>
      <c r="Q169" s="359"/>
      <c r="R169" s="359"/>
      <c r="S169" s="359"/>
      <c r="T169" s="359"/>
      <c r="U169" s="359"/>
      <c r="V169" s="359"/>
      <c r="W169" s="359"/>
      <c r="X169" s="359"/>
      <c r="Y169" s="359"/>
      <c r="Z169" s="359"/>
      <c r="AA169" s="359"/>
      <c r="AB169" s="359"/>
      <c r="AC169" s="359"/>
      <c r="AD169" s="359"/>
      <c r="AE169" s="359"/>
      <c r="AF169" s="359"/>
      <c r="AG169" s="359"/>
      <c r="AH169" s="359"/>
    </row>
    <row r="170" spans="1:34">
      <c r="A170" s="359"/>
      <c r="B170" s="359"/>
      <c r="C170" s="359"/>
      <c r="D170" s="359"/>
      <c r="E170" s="359"/>
      <c r="F170" s="359"/>
      <c r="G170" s="359"/>
      <c r="H170" s="359"/>
      <c r="I170" s="359"/>
      <c r="J170" s="359"/>
      <c r="K170" s="359"/>
      <c r="L170" s="359"/>
      <c r="M170" s="359"/>
      <c r="N170" s="359"/>
      <c r="O170" s="359"/>
      <c r="P170" s="359"/>
      <c r="Q170" s="359"/>
      <c r="R170" s="359"/>
      <c r="S170" s="359"/>
      <c r="T170" s="359"/>
      <c r="U170" s="359"/>
      <c r="V170" s="359"/>
      <c r="W170" s="359"/>
      <c r="X170" s="359"/>
      <c r="Y170" s="359"/>
      <c r="Z170" s="359"/>
      <c r="AA170" s="359"/>
      <c r="AB170" s="359"/>
      <c r="AC170" s="359"/>
      <c r="AD170" s="359"/>
      <c r="AE170" s="359"/>
      <c r="AF170" s="359"/>
      <c r="AG170" s="359"/>
      <c r="AH170" s="359"/>
    </row>
    <row r="171" spans="1:34">
      <c r="A171" s="359"/>
      <c r="B171" s="359"/>
      <c r="C171" s="359"/>
      <c r="D171" s="359"/>
      <c r="E171" s="359"/>
      <c r="F171" s="359"/>
      <c r="G171" s="359"/>
      <c r="H171" s="359"/>
      <c r="I171" s="359"/>
      <c r="J171" s="359"/>
      <c r="K171" s="359"/>
      <c r="L171" s="359"/>
      <c r="M171" s="359"/>
      <c r="N171" s="359"/>
      <c r="O171" s="359"/>
      <c r="P171" s="359"/>
      <c r="Q171" s="359"/>
      <c r="R171" s="359"/>
      <c r="S171" s="359"/>
      <c r="T171" s="359"/>
      <c r="U171" s="359"/>
      <c r="V171" s="359"/>
      <c r="W171" s="359"/>
      <c r="X171" s="359"/>
      <c r="Y171" s="359"/>
      <c r="Z171" s="359"/>
      <c r="AA171" s="359"/>
      <c r="AB171" s="359"/>
      <c r="AC171" s="359"/>
      <c r="AD171" s="359"/>
      <c r="AE171" s="359"/>
      <c r="AF171" s="359"/>
      <c r="AG171" s="359"/>
      <c r="AH171" s="359"/>
    </row>
    <row r="172" spans="1:34">
      <c r="A172" s="359"/>
      <c r="B172" s="359"/>
      <c r="C172" s="359"/>
      <c r="D172" s="359"/>
      <c r="E172" s="359"/>
      <c r="F172" s="359"/>
      <c r="G172" s="359"/>
      <c r="H172" s="359"/>
      <c r="I172" s="359"/>
      <c r="J172" s="359"/>
      <c r="K172" s="359"/>
      <c r="L172" s="359"/>
      <c r="M172" s="359"/>
      <c r="N172" s="359"/>
      <c r="O172" s="359"/>
      <c r="P172" s="359"/>
      <c r="Q172" s="359"/>
      <c r="R172" s="359"/>
      <c r="S172" s="359"/>
      <c r="T172" s="359"/>
      <c r="U172" s="359"/>
      <c r="V172" s="359"/>
      <c r="W172" s="359"/>
      <c r="X172" s="359"/>
      <c r="Y172" s="359"/>
      <c r="Z172" s="359"/>
      <c r="AA172" s="359"/>
      <c r="AB172" s="359"/>
      <c r="AC172" s="359"/>
      <c r="AD172" s="359"/>
      <c r="AE172" s="359"/>
      <c r="AF172" s="359"/>
      <c r="AG172" s="359"/>
      <c r="AH172" s="359"/>
    </row>
    <row r="173" spans="1:34">
      <c r="A173" s="359"/>
      <c r="B173" s="359"/>
      <c r="C173" s="359"/>
      <c r="D173" s="359"/>
      <c r="E173" s="359"/>
      <c r="F173" s="359"/>
      <c r="G173" s="359"/>
      <c r="H173" s="359"/>
      <c r="I173" s="359"/>
      <c r="J173" s="359"/>
      <c r="K173" s="359"/>
      <c r="L173" s="359"/>
      <c r="M173" s="359"/>
      <c r="N173" s="359"/>
      <c r="O173" s="359"/>
      <c r="P173" s="359"/>
      <c r="Q173" s="359"/>
      <c r="R173" s="359"/>
      <c r="S173" s="359"/>
      <c r="T173" s="359"/>
      <c r="U173" s="359"/>
      <c r="V173" s="359"/>
      <c r="W173" s="359"/>
      <c r="X173" s="359"/>
      <c r="Y173" s="359"/>
      <c r="Z173" s="359"/>
      <c r="AA173" s="359"/>
      <c r="AB173" s="359"/>
      <c r="AC173" s="359"/>
      <c r="AD173" s="359"/>
      <c r="AE173" s="359"/>
      <c r="AF173" s="359"/>
      <c r="AG173" s="359"/>
      <c r="AH173" s="359"/>
    </row>
    <row r="174" spans="1:34">
      <c r="A174" s="359"/>
      <c r="B174" s="359"/>
      <c r="C174" s="359"/>
      <c r="D174" s="359"/>
      <c r="E174" s="359"/>
      <c r="F174" s="359"/>
      <c r="G174" s="359"/>
      <c r="H174" s="359"/>
      <c r="I174" s="359"/>
      <c r="J174" s="359"/>
      <c r="K174" s="359"/>
      <c r="L174" s="359"/>
      <c r="M174" s="359"/>
      <c r="N174" s="359"/>
      <c r="O174" s="359"/>
      <c r="P174" s="359"/>
      <c r="Q174" s="359"/>
      <c r="R174" s="359"/>
      <c r="S174" s="359"/>
      <c r="T174" s="359"/>
      <c r="U174" s="359"/>
      <c r="V174" s="359"/>
      <c r="W174" s="359"/>
      <c r="X174" s="359"/>
      <c r="Y174" s="359"/>
      <c r="Z174" s="359"/>
      <c r="AA174" s="359"/>
      <c r="AB174" s="359"/>
      <c r="AC174" s="359"/>
      <c r="AD174" s="359"/>
      <c r="AE174" s="359"/>
      <c r="AF174" s="359"/>
      <c r="AG174" s="359"/>
      <c r="AH174" s="359"/>
    </row>
    <row r="175" spans="1:34">
      <c r="A175" s="359"/>
      <c r="B175" s="359"/>
      <c r="C175" s="359"/>
      <c r="D175" s="359"/>
      <c r="E175" s="359"/>
      <c r="F175" s="359"/>
      <c r="G175" s="359"/>
      <c r="H175" s="359"/>
      <c r="I175" s="359"/>
      <c r="J175" s="359"/>
      <c r="K175" s="359"/>
      <c r="L175" s="359"/>
      <c r="M175" s="359"/>
      <c r="N175" s="359"/>
      <c r="O175" s="359"/>
      <c r="P175" s="359"/>
      <c r="Q175" s="359"/>
      <c r="R175" s="359"/>
      <c r="S175" s="359"/>
      <c r="T175" s="359"/>
      <c r="U175" s="359"/>
      <c r="V175" s="359"/>
      <c r="W175" s="359"/>
      <c r="X175" s="359"/>
      <c r="Y175" s="359"/>
      <c r="Z175" s="359"/>
      <c r="AA175" s="359"/>
      <c r="AB175" s="359"/>
      <c r="AC175" s="359"/>
      <c r="AD175" s="359"/>
      <c r="AE175" s="359"/>
      <c r="AF175" s="359"/>
      <c r="AG175" s="359"/>
      <c r="AH175" s="359"/>
    </row>
    <row r="176" spans="1:34">
      <c r="A176" s="359"/>
      <c r="B176" s="359"/>
      <c r="C176" s="359"/>
      <c r="D176" s="359"/>
      <c r="E176" s="359"/>
      <c r="F176" s="359"/>
      <c r="G176" s="359"/>
      <c r="H176" s="359"/>
      <c r="I176" s="359"/>
      <c r="J176" s="359"/>
      <c r="K176" s="359"/>
      <c r="L176" s="359"/>
      <c r="M176" s="359"/>
      <c r="N176" s="359"/>
      <c r="O176" s="359"/>
      <c r="P176" s="359"/>
      <c r="Q176" s="359"/>
      <c r="R176" s="359"/>
      <c r="S176" s="359"/>
      <c r="T176" s="359"/>
      <c r="U176" s="359"/>
      <c r="V176" s="359"/>
      <c r="W176" s="359"/>
      <c r="X176" s="359"/>
      <c r="Y176" s="359"/>
      <c r="Z176" s="359"/>
      <c r="AA176" s="359"/>
      <c r="AB176" s="359"/>
      <c r="AC176" s="359"/>
      <c r="AD176" s="359"/>
      <c r="AE176" s="359"/>
      <c r="AF176" s="359"/>
      <c r="AG176" s="359"/>
      <c r="AH176" s="359"/>
    </row>
    <row r="177" spans="1:34">
      <c r="A177" s="359"/>
      <c r="B177" s="359"/>
      <c r="C177" s="359"/>
      <c r="D177" s="359"/>
      <c r="E177" s="359"/>
      <c r="F177" s="359"/>
      <c r="G177" s="359"/>
      <c r="H177" s="359"/>
      <c r="I177" s="359"/>
      <c r="J177" s="359"/>
      <c r="K177" s="359"/>
      <c r="L177" s="359"/>
      <c r="M177" s="359"/>
      <c r="N177" s="359"/>
      <c r="O177" s="359"/>
      <c r="P177" s="359"/>
      <c r="Q177" s="359"/>
      <c r="R177" s="359"/>
      <c r="S177" s="359"/>
      <c r="T177" s="359"/>
      <c r="U177" s="359"/>
      <c r="V177" s="359"/>
      <c r="W177" s="359"/>
      <c r="X177" s="359"/>
      <c r="Y177" s="359"/>
      <c r="Z177" s="359"/>
      <c r="AA177" s="359"/>
      <c r="AB177" s="359"/>
      <c r="AC177" s="359"/>
      <c r="AD177" s="359"/>
      <c r="AE177" s="359"/>
      <c r="AF177" s="359"/>
      <c r="AG177" s="359"/>
      <c r="AH177" s="359"/>
    </row>
    <row r="178" spans="1:34">
      <c r="A178" s="359"/>
      <c r="B178" s="359"/>
      <c r="C178" s="359"/>
      <c r="D178" s="359"/>
      <c r="E178" s="359"/>
      <c r="F178" s="359"/>
      <c r="G178" s="359"/>
      <c r="H178" s="359"/>
      <c r="I178" s="359"/>
      <c r="J178" s="359"/>
      <c r="K178" s="359"/>
      <c r="L178" s="359"/>
      <c r="M178" s="359"/>
      <c r="N178" s="359"/>
      <c r="O178" s="359"/>
      <c r="P178" s="359"/>
      <c r="Q178" s="359"/>
      <c r="R178" s="359"/>
      <c r="S178" s="359"/>
      <c r="T178" s="359"/>
      <c r="U178" s="359"/>
      <c r="V178" s="359"/>
      <c r="W178" s="359"/>
      <c r="X178" s="359"/>
      <c r="Y178" s="359"/>
      <c r="Z178" s="359"/>
      <c r="AA178" s="359"/>
      <c r="AB178" s="359"/>
      <c r="AC178" s="359"/>
      <c r="AD178" s="359"/>
      <c r="AE178" s="359"/>
      <c r="AF178" s="359"/>
      <c r="AG178" s="359"/>
      <c r="AH178" s="359"/>
    </row>
    <row r="179" spans="1:34">
      <c r="A179" s="359"/>
      <c r="B179" s="359"/>
      <c r="C179" s="359"/>
      <c r="D179" s="359"/>
      <c r="E179" s="359"/>
      <c r="F179" s="359"/>
      <c r="G179" s="359"/>
      <c r="H179" s="359"/>
      <c r="I179" s="359"/>
      <c r="J179" s="359"/>
      <c r="K179" s="359"/>
      <c r="L179" s="359"/>
      <c r="M179" s="359"/>
      <c r="N179" s="359"/>
      <c r="O179" s="359"/>
      <c r="P179" s="359"/>
      <c r="Q179" s="359"/>
      <c r="R179" s="359"/>
      <c r="S179" s="359"/>
      <c r="T179" s="359"/>
      <c r="U179" s="359"/>
      <c r="V179" s="359"/>
      <c r="W179" s="359"/>
      <c r="X179" s="359"/>
      <c r="Y179" s="359"/>
      <c r="Z179" s="359"/>
      <c r="AA179" s="359"/>
      <c r="AB179" s="359"/>
      <c r="AC179" s="359"/>
      <c r="AD179" s="359"/>
      <c r="AE179" s="359"/>
      <c r="AF179" s="359"/>
      <c r="AG179" s="359"/>
      <c r="AH179" s="359"/>
    </row>
    <row r="180" spans="1:34">
      <c r="A180" s="359"/>
      <c r="B180" s="359"/>
      <c r="C180" s="359"/>
      <c r="D180" s="359"/>
      <c r="E180" s="359"/>
      <c r="F180" s="359"/>
      <c r="G180" s="359"/>
      <c r="H180" s="359"/>
      <c r="I180" s="359"/>
      <c r="J180" s="359"/>
      <c r="K180" s="359"/>
      <c r="L180" s="359"/>
      <c r="M180" s="359"/>
      <c r="N180" s="359"/>
      <c r="O180" s="359"/>
      <c r="P180" s="359"/>
      <c r="Q180" s="359"/>
      <c r="R180" s="359"/>
      <c r="S180" s="359"/>
      <c r="T180" s="359"/>
      <c r="U180" s="359"/>
      <c r="V180" s="359"/>
      <c r="W180" s="359"/>
      <c r="X180" s="359"/>
      <c r="Y180" s="359"/>
      <c r="Z180" s="359"/>
      <c r="AA180" s="359"/>
      <c r="AB180" s="359"/>
      <c r="AC180" s="359"/>
      <c r="AD180" s="359"/>
      <c r="AE180" s="359"/>
      <c r="AF180" s="359"/>
      <c r="AG180" s="359"/>
      <c r="AH180" s="359"/>
    </row>
    <row r="181" spans="1:34">
      <c r="A181" s="359"/>
      <c r="B181" s="359"/>
      <c r="C181" s="359"/>
      <c r="D181" s="359"/>
      <c r="E181" s="359"/>
      <c r="F181" s="359"/>
      <c r="G181" s="359"/>
      <c r="H181" s="359"/>
      <c r="I181" s="359"/>
      <c r="J181" s="359"/>
      <c r="K181" s="359"/>
      <c r="L181" s="359"/>
      <c r="M181" s="359"/>
      <c r="N181" s="359"/>
      <c r="O181" s="359"/>
      <c r="P181" s="359"/>
      <c r="Q181" s="359"/>
      <c r="R181" s="359"/>
      <c r="S181" s="359"/>
      <c r="T181" s="359"/>
      <c r="U181" s="359"/>
      <c r="V181" s="359"/>
      <c r="W181" s="359"/>
      <c r="X181" s="359"/>
      <c r="Y181" s="359"/>
      <c r="Z181" s="359"/>
      <c r="AA181" s="359"/>
      <c r="AB181" s="359"/>
      <c r="AC181" s="359"/>
      <c r="AD181" s="359"/>
      <c r="AE181" s="359"/>
      <c r="AF181" s="359"/>
      <c r="AG181" s="359"/>
      <c r="AH181" s="359"/>
    </row>
    <row r="182" spans="1:34">
      <c r="A182" s="359"/>
      <c r="B182" s="359"/>
      <c r="C182" s="359"/>
      <c r="D182" s="359"/>
      <c r="E182" s="359"/>
      <c r="F182" s="359"/>
      <c r="G182" s="359"/>
      <c r="H182" s="359"/>
      <c r="I182" s="359"/>
      <c r="J182" s="359"/>
      <c r="K182" s="359"/>
      <c r="L182" s="359"/>
      <c r="M182" s="359"/>
      <c r="N182" s="359"/>
      <c r="O182" s="359"/>
      <c r="P182" s="359"/>
      <c r="Q182" s="359"/>
      <c r="R182" s="359"/>
      <c r="S182" s="359"/>
      <c r="T182" s="359"/>
      <c r="U182" s="359"/>
      <c r="V182" s="359"/>
      <c r="W182" s="359"/>
      <c r="X182" s="359"/>
      <c r="Y182" s="359"/>
      <c r="Z182" s="359"/>
      <c r="AA182" s="359"/>
      <c r="AB182" s="359"/>
      <c r="AC182" s="359"/>
      <c r="AD182" s="359"/>
      <c r="AE182" s="359"/>
      <c r="AF182" s="359"/>
      <c r="AG182" s="359"/>
      <c r="AH182" s="359"/>
    </row>
    <row r="183" spans="1:34">
      <c r="A183" s="359"/>
      <c r="B183" s="359"/>
      <c r="C183" s="359"/>
      <c r="D183" s="359"/>
      <c r="E183" s="359"/>
      <c r="F183" s="359"/>
      <c r="G183" s="359"/>
      <c r="H183" s="359"/>
      <c r="I183" s="359"/>
      <c r="J183" s="359"/>
      <c r="K183" s="359"/>
      <c r="L183" s="359"/>
      <c r="M183" s="359"/>
      <c r="N183" s="359"/>
      <c r="O183" s="359"/>
      <c r="P183" s="359"/>
      <c r="Q183" s="359"/>
      <c r="R183" s="359"/>
      <c r="S183" s="359"/>
      <c r="T183" s="359"/>
      <c r="U183" s="359"/>
      <c r="V183" s="359"/>
      <c r="W183" s="359"/>
      <c r="X183" s="359"/>
      <c r="Y183" s="359"/>
      <c r="Z183" s="359"/>
      <c r="AA183" s="359"/>
      <c r="AB183" s="359"/>
      <c r="AC183" s="359"/>
      <c r="AD183" s="359"/>
      <c r="AE183" s="359"/>
      <c r="AF183" s="359"/>
      <c r="AG183" s="359"/>
      <c r="AH183" s="359"/>
    </row>
    <row r="184" spans="1:34">
      <c r="A184" s="359"/>
      <c r="B184" s="359"/>
      <c r="C184" s="359"/>
      <c r="D184" s="359"/>
      <c r="E184" s="359"/>
      <c r="F184" s="359"/>
      <c r="G184" s="359"/>
      <c r="H184" s="359"/>
      <c r="I184" s="359"/>
      <c r="J184" s="359"/>
      <c r="K184" s="359"/>
      <c r="L184" s="359"/>
      <c r="M184" s="359"/>
      <c r="N184" s="359"/>
      <c r="O184" s="359"/>
      <c r="P184" s="359"/>
      <c r="Q184" s="359"/>
      <c r="R184" s="359"/>
      <c r="S184" s="359"/>
      <c r="T184" s="359"/>
      <c r="U184" s="359"/>
      <c r="V184" s="359"/>
      <c r="W184" s="359"/>
      <c r="X184" s="359"/>
      <c r="Y184" s="359"/>
      <c r="Z184" s="359"/>
      <c r="AA184" s="359"/>
      <c r="AB184" s="359"/>
      <c r="AC184" s="359"/>
      <c r="AD184" s="359"/>
      <c r="AE184" s="359"/>
      <c r="AF184" s="359"/>
      <c r="AG184" s="359"/>
      <c r="AH184" s="359"/>
    </row>
    <row r="185" spans="1:34">
      <c r="A185" s="359"/>
      <c r="B185" s="359"/>
      <c r="C185" s="359"/>
      <c r="D185" s="359"/>
      <c r="E185" s="359"/>
      <c r="F185" s="359"/>
      <c r="G185" s="359"/>
      <c r="H185" s="359"/>
      <c r="I185" s="359"/>
      <c r="J185" s="359"/>
      <c r="K185" s="359"/>
      <c r="L185" s="359"/>
      <c r="M185" s="359"/>
      <c r="N185" s="359"/>
      <c r="O185" s="359"/>
      <c r="P185" s="359"/>
      <c r="Q185" s="359"/>
      <c r="R185" s="359"/>
      <c r="S185" s="359"/>
      <c r="T185" s="359"/>
      <c r="U185" s="359"/>
      <c r="V185" s="359"/>
      <c r="W185" s="359"/>
      <c r="X185" s="359"/>
      <c r="Y185" s="359"/>
      <c r="Z185" s="359"/>
      <c r="AA185" s="359"/>
      <c r="AB185" s="359"/>
      <c r="AC185" s="359"/>
      <c r="AD185" s="359"/>
      <c r="AE185" s="359"/>
      <c r="AF185" s="359"/>
      <c r="AG185" s="359"/>
      <c r="AH185" s="359"/>
    </row>
    <row r="186" spans="1:34">
      <c r="A186" s="359"/>
      <c r="B186" s="359"/>
      <c r="C186" s="359"/>
      <c r="D186" s="359"/>
      <c r="E186" s="359"/>
      <c r="F186" s="359"/>
      <c r="G186" s="359"/>
      <c r="H186" s="359"/>
      <c r="I186" s="359"/>
      <c r="J186" s="359"/>
      <c r="K186" s="359"/>
      <c r="L186" s="359"/>
      <c r="M186" s="359"/>
      <c r="N186" s="359"/>
      <c r="O186" s="359"/>
      <c r="P186" s="359"/>
      <c r="Q186" s="359"/>
      <c r="R186" s="359"/>
      <c r="S186" s="359"/>
      <c r="T186" s="359"/>
      <c r="U186" s="359"/>
      <c r="V186" s="359"/>
      <c r="W186" s="359"/>
      <c r="X186" s="359"/>
      <c r="Y186" s="359"/>
      <c r="Z186" s="359"/>
      <c r="AA186" s="359"/>
      <c r="AB186" s="359"/>
      <c r="AC186" s="359"/>
      <c r="AD186" s="359"/>
      <c r="AE186" s="359"/>
      <c r="AF186" s="359"/>
      <c r="AG186" s="359"/>
      <c r="AH186" s="359"/>
    </row>
    <row r="187" spans="1:34">
      <c r="A187" s="359"/>
      <c r="B187" s="359"/>
      <c r="C187" s="359"/>
      <c r="D187" s="359"/>
      <c r="E187" s="359"/>
      <c r="F187" s="359"/>
      <c r="G187" s="359"/>
      <c r="H187" s="359"/>
      <c r="I187" s="359"/>
      <c r="J187" s="359"/>
      <c r="K187" s="359"/>
      <c r="L187" s="359"/>
      <c r="M187" s="359"/>
      <c r="N187" s="359"/>
      <c r="O187" s="359"/>
      <c r="P187" s="359"/>
      <c r="Q187" s="359"/>
      <c r="R187" s="359"/>
      <c r="S187" s="359"/>
      <c r="T187" s="359"/>
      <c r="U187" s="359"/>
      <c r="V187" s="359"/>
      <c r="W187" s="359"/>
      <c r="X187" s="359"/>
      <c r="Y187" s="359"/>
      <c r="Z187" s="359"/>
      <c r="AA187" s="359"/>
      <c r="AB187" s="359"/>
      <c r="AC187" s="359"/>
      <c r="AD187" s="359"/>
      <c r="AE187" s="359"/>
      <c r="AF187" s="359"/>
      <c r="AG187" s="359"/>
      <c r="AH187" s="359"/>
    </row>
    <row r="188" spans="1:34">
      <c r="A188" s="359"/>
      <c r="B188" s="359"/>
      <c r="C188" s="359"/>
      <c r="D188" s="359"/>
      <c r="E188" s="359"/>
      <c r="F188" s="359"/>
      <c r="G188" s="359"/>
      <c r="H188" s="359"/>
      <c r="I188" s="359"/>
      <c r="J188" s="359"/>
      <c r="K188" s="359"/>
      <c r="L188" s="359"/>
      <c r="M188" s="359"/>
      <c r="N188" s="359"/>
      <c r="O188" s="359"/>
      <c r="P188" s="359"/>
      <c r="Q188" s="359"/>
      <c r="R188" s="359"/>
      <c r="S188" s="359"/>
      <c r="T188" s="359"/>
      <c r="U188" s="359"/>
      <c r="V188" s="359"/>
      <c r="W188" s="359"/>
      <c r="X188" s="359"/>
      <c r="Y188" s="359"/>
      <c r="Z188" s="359"/>
      <c r="AA188" s="359"/>
      <c r="AB188" s="359"/>
      <c r="AC188" s="359"/>
      <c r="AD188" s="359"/>
      <c r="AE188" s="359"/>
      <c r="AF188" s="359"/>
      <c r="AG188" s="359"/>
      <c r="AH188" s="359"/>
    </row>
    <row r="189" spans="1:34">
      <c r="A189" s="359"/>
      <c r="B189" s="359"/>
      <c r="C189" s="359"/>
      <c r="D189" s="359"/>
      <c r="E189" s="359"/>
      <c r="F189" s="359"/>
      <c r="G189" s="359"/>
      <c r="H189" s="359"/>
      <c r="I189" s="359"/>
      <c r="J189" s="359"/>
      <c r="K189" s="359"/>
      <c r="L189" s="359"/>
      <c r="M189" s="359"/>
      <c r="N189" s="359"/>
      <c r="O189" s="359"/>
      <c r="P189" s="359"/>
      <c r="Q189" s="359"/>
      <c r="R189" s="359"/>
      <c r="S189" s="359"/>
      <c r="T189" s="359"/>
      <c r="U189" s="359"/>
      <c r="V189" s="359"/>
      <c r="W189" s="359"/>
      <c r="X189" s="359"/>
      <c r="Y189" s="359"/>
      <c r="Z189" s="359"/>
      <c r="AA189" s="359"/>
      <c r="AB189" s="359"/>
      <c r="AC189" s="359"/>
      <c r="AD189" s="359"/>
      <c r="AE189" s="359"/>
      <c r="AF189" s="359"/>
      <c r="AG189" s="359"/>
      <c r="AH189" s="359"/>
    </row>
    <row r="190" spans="1:34">
      <c r="A190" s="359"/>
      <c r="B190" s="359"/>
      <c r="C190" s="359"/>
      <c r="D190" s="359"/>
      <c r="E190" s="359"/>
      <c r="F190" s="359"/>
      <c r="G190" s="359"/>
      <c r="H190" s="359"/>
      <c r="I190" s="359"/>
      <c r="J190" s="359"/>
      <c r="K190" s="359"/>
      <c r="L190" s="359"/>
      <c r="M190" s="359"/>
      <c r="N190" s="359"/>
      <c r="O190" s="359"/>
      <c r="P190" s="359"/>
      <c r="Q190" s="359"/>
      <c r="R190" s="359"/>
      <c r="S190" s="359"/>
      <c r="T190" s="359"/>
      <c r="U190" s="359"/>
      <c r="V190" s="359"/>
      <c r="W190" s="359"/>
      <c r="X190" s="359"/>
      <c r="Y190" s="359"/>
      <c r="Z190" s="359"/>
      <c r="AA190" s="359"/>
      <c r="AB190" s="359"/>
      <c r="AC190" s="359"/>
      <c r="AD190" s="359"/>
      <c r="AE190" s="359"/>
      <c r="AF190" s="359"/>
      <c r="AG190" s="359"/>
      <c r="AH190" s="359"/>
    </row>
    <row r="191" spans="1:34">
      <c r="A191" s="359"/>
      <c r="B191" s="359"/>
      <c r="C191" s="359"/>
      <c r="D191" s="359"/>
      <c r="E191" s="359"/>
      <c r="F191" s="359"/>
      <c r="G191" s="359"/>
      <c r="H191" s="359"/>
      <c r="I191" s="359"/>
      <c r="J191" s="359"/>
      <c r="K191" s="359"/>
      <c r="L191" s="359"/>
      <c r="M191" s="359"/>
      <c r="N191" s="359"/>
      <c r="O191" s="359"/>
      <c r="P191" s="359"/>
      <c r="Q191" s="359"/>
      <c r="R191" s="359"/>
      <c r="S191" s="359"/>
      <c r="T191" s="359"/>
      <c r="U191" s="359"/>
      <c r="V191" s="359"/>
      <c r="W191" s="359"/>
      <c r="X191" s="359"/>
      <c r="Y191" s="359"/>
      <c r="Z191" s="359"/>
      <c r="AA191" s="359"/>
      <c r="AB191" s="359"/>
      <c r="AC191" s="359"/>
      <c r="AD191" s="359"/>
      <c r="AE191" s="359"/>
      <c r="AF191" s="359"/>
      <c r="AG191" s="359"/>
      <c r="AH191" s="359"/>
    </row>
    <row r="192" spans="1:34">
      <c r="A192" s="359"/>
      <c r="B192" s="359"/>
      <c r="C192" s="359"/>
      <c r="D192" s="359"/>
      <c r="E192" s="359"/>
      <c r="F192" s="359"/>
      <c r="G192" s="359"/>
      <c r="H192" s="359"/>
      <c r="I192" s="359"/>
      <c r="J192" s="359"/>
      <c r="K192" s="359"/>
      <c r="L192" s="359"/>
      <c r="M192" s="359"/>
      <c r="N192" s="359"/>
      <c r="O192" s="359"/>
      <c r="P192" s="359"/>
      <c r="Q192" s="359"/>
      <c r="R192" s="359"/>
      <c r="S192" s="359"/>
      <c r="T192" s="359"/>
      <c r="U192" s="359"/>
      <c r="V192" s="359"/>
      <c r="W192" s="359"/>
      <c r="X192" s="359"/>
      <c r="Y192" s="359"/>
      <c r="Z192" s="359"/>
      <c r="AA192" s="359"/>
      <c r="AB192" s="359"/>
      <c r="AC192" s="359"/>
      <c r="AD192" s="359"/>
      <c r="AE192" s="359"/>
      <c r="AF192" s="359"/>
      <c r="AG192" s="359"/>
      <c r="AH192" s="359"/>
    </row>
    <row r="193" spans="1:34">
      <c r="A193" s="359"/>
      <c r="B193" s="359"/>
      <c r="C193" s="359"/>
      <c r="D193" s="359"/>
      <c r="E193" s="359"/>
      <c r="F193" s="359"/>
      <c r="G193" s="359"/>
      <c r="H193" s="359"/>
      <c r="I193" s="359"/>
      <c r="J193" s="359"/>
      <c r="K193" s="359"/>
      <c r="L193" s="359"/>
      <c r="M193" s="359"/>
      <c r="N193" s="359"/>
      <c r="O193" s="359"/>
      <c r="P193" s="359"/>
      <c r="Q193" s="359"/>
      <c r="R193" s="359"/>
      <c r="S193" s="359"/>
      <c r="T193" s="359"/>
      <c r="U193" s="359"/>
      <c r="V193" s="359"/>
      <c r="W193" s="359"/>
      <c r="X193" s="359"/>
      <c r="Y193" s="359"/>
      <c r="Z193" s="359"/>
      <c r="AA193" s="359"/>
      <c r="AB193" s="359"/>
      <c r="AC193" s="359"/>
      <c r="AD193" s="359"/>
      <c r="AE193" s="359"/>
      <c r="AF193" s="359"/>
      <c r="AG193" s="359"/>
      <c r="AH193" s="359"/>
    </row>
    <row r="194" spans="1:34">
      <c r="A194" s="359"/>
      <c r="B194" s="359"/>
      <c r="C194" s="359"/>
      <c r="D194" s="359"/>
      <c r="E194" s="359"/>
      <c r="F194" s="359"/>
      <c r="G194" s="359"/>
      <c r="H194" s="359"/>
      <c r="I194" s="359"/>
      <c r="J194" s="359"/>
      <c r="K194" s="359"/>
      <c r="L194" s="359"/>
      <c r="M194" s="359"/>
      <c r="N194" s="359"/>
      <c r="O194" s="359"/>
      <c r="P194" s="359"/>
      <c r="Q194" s="359"/>
      <c r="R194" s="359"/>
      <c r="S194" s="359"/>
      <c r="T194" s="359"/>
      <c r="U194" s="359"/>
      <c r="V194" s="359"/>
      <c r="W194" s="359"/>
      <c r="X194" s="359"/>
      <c r="Y194" s="359"/>
      <c r="Z194" s="359"/>
      <c r="AA194" s="359"/>
      <c r="AB194" s="359"/>
      <c r="AC194" s="359"/>
      <c r="AD194" s="359"/>
      <c r="AE194" s="359"/>
      <c r="AF194" s="359"/>
      <c r="AG194" s="359"/>
      <c r="AH194" s="359"/>
    </row>
    <row r="195" spans="1:34">
      <c r="A195" s="359"/>
      <c r="B195" s="359"/>
      <c r="C195" s="359"/>
      <c r="D195" s="359"/>
      <c r="E195" s="359"/>
      <c r="F195" s="359"/>
      <c r="G195" s="359"/>
      <c r="H195" s="359"/>
      <c r="I195" s="359"/>
      <c r="J195" s="359"/>
      <c r="K195" s="359"/>
      <c r="L195" s="359"/>
      <c r="M195" s="359"/>
      <c r="N195" s="359"/>
      <c r="O195" s="359"/>
      <c r="P195" s="359"/>
      <c r="Q195" s="359"/>
      <c r="R195" s="359"/>
      <c r="S195" s="359"/>
      <c r="T195" s="359"/>
      <c r="U195" s="359"/>
      <c r="V195" s="359"/>
      <c r="W195" s="359"/>
      <c r="X195" s="359"/>
      <c r="Y195" s="359"/>
      <c r="Z195" s="359"/>
      <c r="AA195" s="359"/>
      <c r="AB195" s="359"/>
      <c r="AC195" s="359"/>
      <c r="AD195" s="359"/>
      <c r="AE195" s="359"/>
      <c r="AF195" s="359"/>
      <c r="AG195" s="359"/>
      <c r="AH195" s="359"/>
    </row>
    <row r="196" spans="1:34">
      <c r="A196" s="359"/>
      <c r="B196" s="359"/>
      <c r="C196" s="359"/>
      <c r="D196" s="359"/>
      <c r="E196" s="359"/>
      <c r="F196" s="359"/>
      <c r="G196" s="359"/>
      <c r="H196" s="359"/>
      <c r="I196" s="359"/>
      <c r="J196" s="359"/>
      <c r="K196" s="359"/>
      <c r="L196" s="359"/>
      <c r="M196" s="359"/>
      <c r="N196" s="359"/>
      <c r="O196" s="359"/>
      <c r="P196" s="359"/>
      <c r="Q196" s="359"/>
      <c r="R196" s="359"/>
      <c r="S196" s="359"/>
      <c r="T196" s="359"/>
      <c r="U196" s="359"/>
      <c r="V196" s="359"/>
      <c r="W196" s="359"/>
      <c r="X196" s="359"/>
      <c r="Y196" s="359"/>
      <c r="Z196" s="359"/>
      <c r="AA196" s="359"/>
      <c r="AB196" s="359"/>
      <c r="AC196" s="359"/>
      <c r="AD196" s="359"/>
      <c r="AE196" s="359"/>
      <c r="AF196" s="359"/>
      <c r="AG196" s="359"/>
      <c r="AH196" s="359"/>
    </row>
    <row r="197" spans="1:34">
      <c r="A197" s="359"/>
      <c r="B197" s="359"/>
      <c r="C197" s="359"/>
      <c r="D197" s="359"/>
      <c r="E197" s="359"/>
      <c r="F197" s="359"/>
      <c r="G197" s="359"/>
      <c r="H197" s="359"/>
      <c r="I197" s="359"/>
      <c r="J197" s="359"/>
      <c r="K197" s="359"/>
      <c r="L197" s="359"/>
      <c r="M197" s="359"/>
      <c r="N197" s="359"/>
      <c r="O197" s="359"/>
      <c r="P197" s="359"/>
      <c r="Q197" s="359"/>
      <c r="R197" s="359"/>
      <c r="S197" s="359"/>
      <c r="T197" s="359"/>
      <c r="U197" s="359"/>
      <c r="V197" s="359"/>
      <c r="W197" s="359"/>
      <c r="X197" s="359"/>
      <c r="Y197" s="359"/>
      <c r="Z197" s="359"/>
      <c r="AA197" s="359"/>
      <c r="AB197" s="359"/>
      <c r="AC197" s="359"/>
      <c r="AD197" s="359"/>
      <c r="AE197" s="359"/>
      <c r="AF197" s="359"/>
      <c r="AG197" s="359"/>
      <c r="AH197" s="359"/>
    </row>
    <row r="198" spans="1:34">
      <c r="A198" s="359"/>
      <c r="B198" s="359"/>
      <c r="C198" s="359"/>
      <c r="D198" s="359"/>
      <c r="E198" s="359"/>
      <c r="F198" s="359"/>
      <c r="G198" s="359"/>
      <c r="H198" s="359"/>
      <c r="I198" s="359"/>
      <c r="J198" s="359"/>
      <c r="K198" s="359"/>
      <c r="L198" s="359"/>
      <c r="M198" s="359"/>
      <c r="N198" s="359"/>
      <c r="O198" s="359"/>
      <c r="P198" s="359"/>
      <c r="Q198" s="359"/>
      <c r="R198" s="359"/>
      <c r="S198" s="359"/>
      <c r="T198" s="359"/>
      <c r="U198" s="359"/>
      <c r="V198" s="359"/>
      <c r="W198" s="359"/>
      <c r="X198" s="359"/>
      <c r="Y198" s="359"/>
      <c r="Z198" s="359"/>
      <c r="AA198" s="359"/>
      <c r="AB198" s="359"/>
      <c r="AC198" s="359"/>
      <c r="AD198" s="359"/>
      <c r="AE198" s="359"/>
      <c r="AF198" s="359"/>
      <c r="AG198" s="359"/>
      <c r="AH198" s="359"/>
    </row>
    <row r="199" spans="1:34">
      <c r="A199" s="359"/>
      <c r="B199" s="359"/>
      <c r="C199" s="359"/>
      <c r="D199" s="359"/>
      <c r="E199" s="359"/>
      <c r="F199" s="359"/>
      <c r="G199" s="359"/>
      <c r="H199" s="359"/>
      <c r="I199" s="359"/>
      <c r="J199" s="359"/>
      <c r="K199" s="359"/>
      <c r="L199" s="359"/>
      <c r="M199" s="359"/>
      <c r="N199" s="359"/>
      <c r="O199" s="359"/>
      <c r="P199" s="359"/>
      <c r="Q199" s="359"/>
      <c r="R199" s="359"/>
      <c r="S199" s="359"/>
      <c r="T199" s="359"/>
      <c r="U199" s="359"/>
      <c r="V199" s="359"/>
      <c r="W199" s="359"/>
      <c r="X199" s="359"/>
      <c r="Y199" s="359"/>
      <c r="Z199" s="359"/>
      <c r="AA199" s="359"/>
      <c r="AB199" s="359"/>
      <c r="AC199" s="359"/>
      <c r="AD199" s="359"/>
      <c r="AE199" s="359"/>
      <c r="AF199" s="359"/>
      <c r="AG199" s="359"/>
      <c r="AH199" s="359"/>
    </row>
    <row r="200" spans="1:34">
      <c r="A200" s="359"/>
      <c r="B200" s="359"/>
      <c r="C200" s="359"/>
      <c r="D200" s="359"/>
      <c r="E200" s="359"/>
      <c r="F200" s="359"/>
      <c r="G200" s="359"/>
      <c r="H200" s="359"/>
      <c r="I200" s="359"/>
      <c r="J200" s="359"/>
      <c r="K200" s="359"/>
      <c r="L200" s="359"/>
      <c r="M200" s="359"/>
      <c r="N200" s="359"/>
      <c r="O200" s="359"/>
      <c r="P200" s="359"/>
      <c r="Q200" s="359"/>
      <c r="R200" s="359"/>
      <c r="S200" s="359"/>
      <c r="T200" s="359"/>
      <c r="U200" s="359"/>
      <c r="V200" s="359"/>
      <c r="W200" s="359"/>
      <c r="X200" s="359"/>
      <c r="Y200" s="359"/>
      <c r="Z200" s="359"/>
      <c r="AA200" s="359"/>
      <c r="AB200" s="359"/>
      <c r="AC200" s="359"/>
      <c r="AD200" s="359"/>
      <c r="AE200" s="359"/>
      <c r="AF200" s="359"/>
      <c r="AG200" s="359"/>
      <c r="AH200" s="359"/>
    </row>
    <row r="201" spans="1:34">
      <c r="A201" s="359"/>
      <c r="B201" s="359"/>
      <c r="C201" s="359"/>
      <c r="D201" s="359"/>
      <c r="E201" s="359"/>
      <c r="F201" s="359"/>
      <c r="G201" s="359"/>
      <c r="H201" s="359"/>
      <c r="I201" s="359"/>
      <c r="J201" s="359"/>
      <c r="K201" s="359"/>
      <c r="L201" s="359"/>
      <c r="M201" s="359"/>
      <c r="N201" s="359"/>
      <c r="O201" s="359"/>
      <c r="P201" s="359"/>
      <c r="Q201" s="359"/>
      <c r="R201" s="359"/>
      <c r="S201" s="359"/>
      <c r="T201" s="359"/>
      <c r="U201" s="359"/>
      <c r="V201" s="359"/>
      <c r="W201" s="359"/>
      <c r="X201" s="359"/>
      <c r="Y201" s="359"/>
      <c r="Z201" s="359"/>
      <c r="AA201" s="359"/>
      <c r="AB201" s="359"/>
      <c r="AC201" s="359"/>
      <c r="AD201" s="359"/>
      <c r="AE201" s="359"/>
      <c r="AF201" s="359"/>
      <c r="AG201" s="359"/>
      <c r="AH201" s="359"/>
    </row>
    <row r="202" spans="1:34">
      <c r="A202" s="359"/>
      <c r="B202" s="359"/>
      <c r="C202" s="359"/>
      <c r="D202" s="359"/>
      <c r="E202" s="359"/>
      <c r="F202" s="359"/>
      <c r="G202" s="359"/>
      <c r="H202" s="359"/>
      <c r="I202" s="359"/>
      <c r="J202" s="359"/>
      <c r="K202" s="359"/>
      <c r="L202" s="359"/>
      <c r="M202" s="359"/>
      <c r="N202" s="359"/>
      <c r="O202" s="359"/>
      <c r="P202" s="359"/>
      <c r="Q202" s="359"/>
      <c r="R202" s="359"/>
      <c r="S202" s="359"/>
      <c r="T202" s="359"/>
      <c r="U202" s="359"/>
      <c r="V202" s="359"/>
      <c r="W202" s="359"/>
      <c r="X202" s="359"/>
      <c r="Y202" s="359"/>
      <c r="Z202" s="359"/>
      <c r="AA202" s="359"/>
      <c r="AB202" s="359"/>
      <c r="AC202" s="359"/>
      <c r="AD202" s="359"/>
      <c r="AE202" s="359"/>
      <c r="AF202" s="359"/>
      <c r="AG202" s="359"/>
      <c r="AH202" s="359"/>
    </row>
    <row r="203" spans="1:34">
      <c r="A203" s="359"/>
      <c r="B203" s="359"/>
      <c r="C203" s="359"/>
      <c r="D203" s="359"/>
      <c r="E203" s="359"/>
      <c r="F203" s="359"/>
      <c r="G203" s="359"/>
      <c r="H203" s="359"/>
      <c r="I203" s="359"/>
      <c r="J203" s="359"/>
      <c r="K203" s="359"/>
      <c r="L203" s="359"/>
      <c r="M203" s="359"/>
      <c r="N203" s="359"/>
      <c r="O203" s="359"/>
      <c r="P203" s="359"/>
      <c r="Q203" s="359"/>
      <c r="R203" s="359"/>
      <c r="S203" s="359"/>
      <c r="T203" s="359"/>
      <c r="U203" s="359"/>
      <c r="V203" s="359"/>
      <c r="W203" s="359"/>
      <c r="X203" s="359"/>
      <c r="Y203" s="359"/>
      <c r="Z203" s="359"/>
      <c r="AA203" s="359"/>
      <c r="AB203" s="359"/>
      <c r="AC203" s="359"/>
      <c r="AD203" s="359"/>
      <c r="AE203" s="359"/>
      <c r="AF203" s="359"/>
      <c r="AG203" s="359"/>
      <c r="AH203" s="359"/>
    </row>
    <row r="204" spans="1:34">
      <c r="A204" s="359"/>
      <c r="B204" s="359"/>
      <c r="C204" s="359"/>
      <c r="D204" s="359"/>
      <c r="E204" s="359"/>
      <c r="F204" s="359"/>
      <c r="G204" s="359"/>
      <c r="H204" s="359"/>
      <c r="I204" s="359"/>
      <c r="J204" s="359"/>
      <c r="K204" s="359"/>
      <c r="L204" s="359"/>
      <c r="M204" s="359"/>
      <c r="N204" s="359"/>
      <c r="O204" s="359"/>
      <c r="P204" s="359"/>
      <c r="Q204" s="359"/>
      <c r="R204" s="359"/>
      <c r="S204" s="359"/>
      <c r="T204" s="359"/>
      <c r="U204" s="359"/>
      <c r="V204" s="359"/>
      <c r="W204" s="359"/>
      <c r="X204" s="359"/>
      <c r="Y204" s="359"/>
      <c r="Z204" s="359"/>
      <c r="AA204" s="359"/>
      <c r="AB204" s="359"/>
      <c r="AC204" s="359"/>
      <c r="AD204" s="359"/>
      <c r="AE204" s="359"/>
      <c r="AF204" s="359"/>
      <c r="AG204" s="359"/>
      <c r="AH204" s="359"/>
    </row>
    <row r="205" spans="1:34">
      <c r="A205" s="359"/>
      <c r="B205" s="359"/>
      <c r="C205" s="359"/>
      <c r="D205" s="359"/>
      <c r="E205" s="359"/>
      <c r="F205" s="359"/>
      <c r="G205" s="359"/>
      <c r="H205" s="359"/>
      <c r="I205" s="359"/>
      <c r="J205" s="359"/>
      <c r="K205" s="359"/>
      <c r="L205" s="359"/>
      <c r="M205" s="359"/>
      <c r="N205" s="359"/>
      <c r="O205" s="359"/>
      <c r="P205" s="359"/>
      <c r="Q205" s="359"/>
      <c r="R205" s="359"/>
      <c r="S205" s="359"/>
      <c r="T205" s="359"/>
      <c r="U205" s="359"/>
      <c r="V205" s="359"/>
      <c r="W205" s="359"/>
      <c r="X205" s="359"/>
      <c r="Y205" s="359"/>
      <c r="Z205" s="359"/>
      <c r="AA205" s="359"/>
      <c r="AB205" s="359"/>
      <c r="AC205" s="359"/>
      <c r="AD205" s="359"/>
      <c r="AE205" s="359"/>
      <c r="AF205" s="359"/>
      <c r="AG205" s="359"/>
      <c r="AH205" s="359"/>
    </row>
    <row r="206" spans="1:34">
      <c r="A206" s="359"/>
      <c r="B206" s="359"/>
      <c r="C206" s="359"/>
      <c r="D206" s="359"/>
      <c r="E206" s="359"/>
      <c r="F206" s="359"/>
      <c r="G206" s="359"/>
      <c r="H206" s="359"/>
      <c r="I206" s="359"/>
      <c r="J206" s="359"/>
      <c r="K206" s="359"/>
      <c r="L206" s="359"/>
      <c r="M206" s="359"/>
      <c r="N206" s="359"/>
      <c r="O206" s="359"/>
      <c r="P206" s="359"/>
      <c r="Q206" s="359"/>
      <c r="R206" s="359"/>
      <c r="S206" s="359"/>
      <c r="T206" s="359"/>
      <c r="U206" s="359"/>
      <c r="V206" s="359"/>
      <c r="W206" s="359"/>
      <c r="X206" s="359"/>
      <c r="Y206" s="359"/>
      <c r="Z206" s="359"/>
      <c r="AA206" s="359"/>
      <c r="AB206" s="359"/>
      <c r="AC206" s="359"/>
      <c r="AD206" s="359"/>
      <c r="AE206" s="359"/>
      <c r="AF206" s="359"/>
      <c r="AG206" s="359"/>
      <c r="AH206" s="359"/>
    </row>
    <row r="207" spans="1:34">
      <c r="A207" s="359"/>
      <c r="B207" s="359"/>
      <c r="C207" s="359"/>
      <c r="D207" s="359"/>
      <c r="E207" s="359"/>
      <c r="F207" s="359"/>
      <c r="G207" s="359"/>
      <c r="H207" s="359"/>
      <c r="I207" s="359"/>
      <c r="J207" s="359"/>
      <c r="K207" s="359"/>
      <c r="L207" s="359"/>
      <c r="M207" s="359"/>
      <c r="N207" s="359"/>
      <c r="O207" s="359"/>
      <c r="P207" s="359"/>
      <c r="Q207" s="359"/>
      <c r="R207" s="359"/>
      <c r="S207" s="359"/>
      <c r="T207" s="359"/>
      <c r="U207" s="359"/>
      <c r="V207" s="359"/>
      <c r="W207" s="359"/>
      <c r="X207" s="359"/>
      <c r="Y207" s="359"/>
      <c r="Z207" s="359"/>
      <c r="AA207" s="359"/>
      <c r="AB207" s="359"/>
      <c r="AC207" s="359"/>
      <c r="AD207" s="359"/>
      <c r="AE207" s="359"/>
      <c r="AF207" s="359"/>
      <c r="AG207" s="359"/>
      <c r="AH207" s="359"/>
    </row>
    <row r="208" spans="1:34">
      <c r="A208" s="359"/>
      <c r="B208" s="359"/>
      <c r="C208" s="359"/>
      <c r="D208" s="359"/>
      <c r="E208" s="359"/>
      <c r="F208" s="359"/>
      <c r="G208" s="359"/>
      <c r="H208" s="359"/>
      <c r="I208" s="359"/>
      <c r="J208" s="359"/>
      <c r="K208" s="359"/>
      <c r="L208" s="359"/>
      <c r="M208" s="359"/>
      <c r="N208" s="359"/>
      <c r="O208" s="359"/>
      <c r="P208" s="359"/>
      <c r="Q208" s="359"/>
      <c r="R208" s="359"/>
      <c r="S208" s="359"/>
      <c r="T208" s="359"/>
      <c r="U208" s="359"/>
      <c r="V208" s="359"/>
      <c r="W208" s="359"/>
      <c r="X208" s="359"/>
      <c r="Y208" s="359"/>
      <c r="Z208" s="359"/>
      <c r="AA208" s="359"/>
      <c r="AB208" s="359"/>
      <c r="AC208" s="359"/>
      <c r="AD208" s="359"/>
      <c r="AE208" s="359"/>
      <c r="AF208" s="359"/>
      <c r="AG208" s="359"/>
      <c r="AH208" s="359"/>
    </row>
    <row r="209" spans="1:34">
      <c r="A209" s="359"/>
      <c r="B209" s="359"/>
      <c r="C209" s="359"/>
      <c r="D209" s="359"/>
      <c r="E209" s="359"/>
      <c r="F209" s="359"/>
      <c r="G209" s="359"/>
      <c r="H209" s="359"/>
      <c r="I209" s="359"/>
      <c r="J209" s="359"/>
      <c r="K209" s="359"/>
      <c r="L209" s="359"/>
      <c r="M209" s="359"/>
      <c r="N209" s="359"/>
      <c r="O209" s="359"/>
      <c r="P209" s="359"/>
      <c r="Q209" s="359"/>
      <c r="R209" s="359"/>
      <c r="S209" s="359"/>
      <c r="T209" s="359"/>
      <c r="U209" s="359"/>
      <c r="V209" s="359"/>
      <c r="W209" s="359"/>
      <c r="X209" s="359"/>
      <c r="Y209" s="359"/>
      <c r="Z209" s="359"/>
      <c r="AA209" s="359"/>
      <c r="AB209" s="359"/>
      <c r="AC209" s="359"/>
      <c r="AD209" s="359"/>
      <c r="AE209" s="359"/>
      <c r="AF209" s="359"/>
      <c r="AG209" s="359"/>
      <c r="AH209" s="359"/>
    </row>
    <row r="210" spans="1:34">
      <c r="A210" s="359"/>
      <c r="B210" s="359"/>
      <c r="C210" s="359"/>
      <c r="D210" s="359"/>
      <c r="E210" s="359"/>
      <c r="F210" s="359"/>
      <c r="G210" s="359"/>
      <c r="H210" s="359"/>
      <c r="I210" s="359"/>
      <c r="J210" s="359"/>
      <c r="K210" s="359"/>
      <c r="L210" s="359"/>
      <c r="M210" s="359"/>
      <c r="N210" s="359"/>
      <c r="O210" s="359"/>
      <c r="P210" s="359"/>
      <c r="Q210" s="359"/>
      <c r="R210" s="359"/>
      <c r="S210" s="359"/>
      <c r="T210" s="359"/>
      <c r="U210" s="359"/>
      <c r="V210" s="359"/>
      <c r="W210" s="359"/>
      <c r="X210" s="359"/>
      <c r="Y210" s="359"/>
      <c r="Z210" s="359"/>
      <c r="AA210" s="359"/>
      <c r="AB210" s="359"/>
      <c r="AC210" s="359"/>
      <c r="AD210" s="359"/>
      <c r="AE210" s="359"/>
      <c r="AF210" s="359"/>
      <c r="AG210" s="359"/>
      <c r="AH210" s="359"/>
    </row>
    <row r="211" spans="1:34">
      <c r="A211" s="359"/>
      <c r="B211" s="359"/>
      <c r="C211" s="359"/>
      <c r="D211" s="359"/>
      <c r="E211" s="359"/>
      <c r="F211" s="359"/>
      <c r="G211" s="359"/>
      <c r="H211" s="359"/>
      <c r="I211" s="359"/>
      <c r="J211" s="359"/>
      <c r="K211" s="359"/>
      <c r="L211" s="359"/>
      <c r="M211" s="359"/>
      <c r="N211" s="359"/>
      <c r="O211" s="359"/>
      <c r="P211" s="359"/>
      <c r="Q211" s="359"/>
      <c r="R211" s="359"/>
      <c r="S211" s="359"/>
      <c r="T211" s="359"/>
      <c r="U211" s="359"/>
      <c r="V211" s="359"/>
      <c r="W211" s="359"/>
      <c r="X211" s="359"/>
      <c r="Y211" s="359"/>
      <c r="Z211" s="359"/>
      <c r="AA211" s="359"/>
      <c r="AB211" s="359"/>
      <c r="AC211" s="359"/>
      <c r="AD211" s="359"/>
      <c r="AE211" s="359"/>
      <c r="AF211" s="359"/>
      <c r="AG211" s="359"/>
      <c r="AH211" s="359"/>
    </row>
    <row r="212" spans="1:34">
      <c r="A212" s="359"/>
      <c r="B212" s="359"/>
      <c r="C212" s="359"/>
      <c r="D212" s="359"/>
      <c r="E212" s="359"/>
      <c r="F212" s="359"/>
      <c r="G212" s="359"/>
      <c r="H212" s="359"/>
      <c r="I212" s="359"/>
      <c r="J212" s="359"/>
      <c r="K212" s="359"/>
      <c r="L212" s="359"/>
      <c r="M212" s="359"/>
      <c r="N212" s="359"/>
      <c r="O212" s="359"/>
      <c r="P212" s="359"/>
      <c r="Q212" s="359"/>
      <c r="R212" s="359"/>
      <c r="S212" s="359"/>
      <c r="T212" s="359"/>
      <c r="U212" s="359"/>
      <c r="V212" s="359"/>
      <c r="W212" s="359"/>
      <c r="X212" s="359"/>
      <c r="Y212" s="359"/>
      <c r="Z212" s="359"/>
      <c r="AA212" s="359"/>
      <c r="AB212" s="359"/>
      <c r="AC212" s="359"/>
      <c r="AD212" s="359"/>
      <c r="AE212" s="359"/>
      <c r="AF212" s="359"/>
      <c r="AG212" s="359"/>
      <c r="AH212" s="359"/>
    </row>
    <row r="213" spans="1:34">
      <c r="A213" s="359"/>
      <c r="B213" s="359"/>
      <c r="C213" s="359"/>
      <c r="D213" s="359"/>
      <c r="E213" s="359"/>
      <c r="F213" s="359"/>
      <c r="G213" s="359"/>
      <c r="H213" s="359"/>
      <c r="I213" s="359"/>
      <c r="J213" s="359"/>
      <c r="K213" s="359"/>
      <c r="L213" s="359"/>
      <c r="M213" s="359"/>
      <c r="N213" s="359"/>
      <c r="O213" s="359"/>
      <c r="P213" s="359"/>
      <c r="Q213" s="359"/>
      <c r="R213" s="359"/>
      <c r="S213" s="359"/>
      <c r="T213" s="359"/>
      <c r="U213" s="359"/>
      <c r="V213" s="359"/>
      <c r="W213" s="359"/>
      <c r="X213" s="359"/>
      <c r="Y213" s="359"/>
      <c r="Z213" s="359"/>
      <c r="AA213" s="359"/>
      <c r="AB213" s="359"/>
      <c r="AC213" s="359"/>
      <c r="AD213" s="359"/>
      <c r="AE213" s="359"/>
      <c r="AF213" s="359"/>
      <c r="AG213" s="359"/>
      <c r="AH213" s="359"/>
    </row>
    <row r="214" spans="1:34">
      <c r="A214" s="359"/>
      <c r="B214" s="359"/>
      <c r="C214" s="359"/>
      <c r="D214" s="359"/>
      <c r="E214" s="359"/>
      <c r="F214" s="359"/>
      <c r="G214" s="359"/>
      <c r="H214" s="359"/>
      <c r="I214" s="359"/>
      <c r="J214" s="359"/>
      <c r="K214" s="359"/>
      <c r="L214" s="359"/>
      <c r="M214" s="359"/>
      <c r="N214" s="359"/>
      <c r="O214" s="359"/>
      <c r="P214" s="359"/>
      <c r="Q214" s="359"/>
      <c r="R214" s="359"/>
      <c r="S214" s="359"/>
      <c r="T214" s="359"/>
      <c r="U214" s="359"/>
      <c r="V214" s="359"/>
      <c r="W214" s="359"/>
      <c r="X214" s="359"/>
      <c r="Y214" s="359"/>
      <c r="Z214" s="359"/>
      <c r="AA214" s="359"/>
      <c r="AB214" s="359"/>
      <c r="AC214" s="359"/>
      <c r="AD214" s="359"/>
      <c r="AE214" s="359"/>
      <c r="AF214" s="359"/>
      <c r="AG214" s="359"/>
      <c r="AH214" s="359"/>
    </row>
    <row r="215" spans="1:34">
      <c r="A215" s="359"/>
      <c r="B215" s="359"/>
      <c r="C215" s="359"/>
      <c r="D215" s="359"/>
      <c r="E215" s="359"/>
      <c r="F215" s="359"/>
      <c r="G215" s="359"/>
      <c r="H215" s="359"/>
      <c r="I215" s="359"/>
      <c r="J215" s="359"/>
      <c r="K215" s="359"/>
      <c r="L215" s="359"/>
      <c r="M215" s="359"/>
      <c r="N215" s="359"/>
      <c r="O215" s="359"/>
      <c r="P215" s="359"/>
      <c r="Q215" s="359"/>
      <c r="R215" s="359"/>
      <c r="S215" s="359"/>
      <c r="T215" s="359"/>
      <c r="U215" s="359"/>
      <c r="V215" s="359"/>
      <c r="W215" s="359"/>
      <c r="X215" s="359"/>
      <c r="Y215" s="359"/>
      <c r="Z215" s="359"/>
      <c r="AA215" s="359"/>
      <c r="AB215" s="359"/>
      <c r="AC215" s="359"/>
      <c r="AD215" s="359"/>
      <c r="AE215" s="359"/>
      <c r="AF215" s="359"/>
      <c r="AG215" s="359"/>
      <c r="AH215" s="359"/>
    </row>
    <row r="216" spans="1:34">
      <c r="A216" s="359"/>
      <c r="B216" s="359"/>
      <c r="C216" s="359"/>
      <c r="D216" s="359"/>
      <c r="E216" s="359"/>
      <c r="F216" s="359"/>
      <c r="G216" s="359"/>
      <c r="H216" s="359"/>
      <c r="I216" s="359"/>
      <c r="J216" s="359"/>
      <c r="K216" s="359"/>
      <c r="L216" s="359"/>
      <c r="M216" s="359"/>
      <c r="N216" s="359"/>
      <c r="O216" s="359"/>
      <c r="P216" s="359"/>
      <c r="Q216" s="359"/>
      <c r="R216" s="359"/>
      <c r="S216" s="359"/>
      <c r="T216" s="359"/>
      <c r="U216" s="359"/>
      <c r="V216" s="359"/>
      <c r="W216" s="359"/>
      <c r="X216" s="359"/>
      <c r="Y216" s="359"/>
      <c r="Z216" s="359"/>
      <c r="AA216" s="359"/>
      <c r="AB216" s="359"/>
      <c r="AC216" s="359"/>
      <c r="AD216" s="359"/>
      <c r="AE216" s="359"/>
      <c r="AF216" s="359"/>
      <c r="AG216" s="359"/>
      <c r="AH216" s="359"/>
    </row>
    <row r="217" spans="1:34">
      <c r="A217" s="359"/>
      <c r="B217" s="359"/>
      <c r="C217" s="359"/>
      <c r="D217" s="359"/>
      <c r="E217" s="359"/>
      <c r="F217" s="359"/>
      <c r="G217" s="359"/>
      <c r="H217" s="359"/>
      <c r="I217" s="359"/>
      <c r="J217" s="359"/>
      <c r="K217" s="359"/>
      <c r="L217" s="359"/>
      <c r="M217" s="359"/>
      <c r="N217" s="359"/>
      <c r="O217" s="359"/>
      <c r="P217" s="359"/>
      <c r="Q217" s="359"/>
      <c r="R217" s="359"/>
      <c r="S217" s="359"/>
      <c r="T217" s="359"/>
      <c r="U217" s="359"/>
      <c r="V217" s="359"/>
      <c r="W217" s="359"/>
      <c r="X217" s="359"/>
      <c r="Y217" s="359"/>
      <c r="Z217" s="359"/>
      <c r="AA217" s="359"/>
      <c r="AB217" s="359"/>
      <c r="AC217" s="359"/>
      <c r="AD217" s="359"/>
      <c r="AE217" s="359"/>
      <c r="AF217" s="359"/>
      <c r="AG217" s="359"/>
      <c r="AH217" s="359"/>
    </row>
    <row r="218" spans="1:34">
      <c r="A218" s="359"/>
      <c r="B218" s="359"/>
      <c r="C218" s="359"/>
      <c r="D218" s="359"/>
      <c r="E218" s="359"/>
      <c r="F218" s="359"/>
      <c r="G218" s="359"/>
      <c r="H218" s="359"/>
      <c r="I218" s="359"/>
      <c r="J218" s="359"/>
      <c r="K218" s="359"/>
      <c r="L218" s="359"/>
      <c r="M218" s="359"/>
      <c r="N218" s="359"/>
      <c r="O218" s="359"/>
      <c r="P218" s="359"/>
      <c r="Q218" s="359"/>
      <c r="R218" s="359"/>
      <c r="S218" s="359"/>
      <c r="T218" s="359"/>
      <c r="U218" s="359"/>
      <c r="V218" s="359"/>
      <c r="W218" s="359"/>
      <c r="X218" s="359"/>
      <c r="Y218" s="359"/>
      <c r="Z218" s="359"/>
      <c r="AA218" s="359"/>
      <c r="AB218" s="359"/>
      <c r="AC218" s="359"/>
      <c r="AD218" s="359"/>
      <c r="AE218" s="359"/>
      <c r="AF218" s="359"/>
      <c r="AG218" s="359"/>
      <c r="AH218" s="359"/>
    </row>
    <row r="219" spans="1:34">
      <c r="A219" s="359"/>
      <c r="B219" s="359"/>
      <c r="C219" s="359"/>
      <c r="D219" s="359"/>
      <c r="E219" s="359"/>
      <c r="F219" s="359"/>
      <c r="G219" s="359"/>
      <c r="H219" s="359"/>
      <c r="I219" s="359"/>
      <c r="J219" s="359"/>
      <c r="K219" s="359"/>
      <c r="L219" s="359"/>
      <c r="M219" s="359"/>
      <c r="N219" s="359"/>
      <c r="O219" s="359"/>
      <c r="P219" s="359"/>
      <c r="Q219" s="359"/>
      <c r="R219" s="359"/>
      <c r="S219" s="359"/>
      <c r="T219" s="359"/>
      <c r="U219" s="359"/>
      <c r="V219" s="359"/>
      <c r="W219" s="359"/>
      <c r="X219" s="359"/>
      <c r="Y219" s="359"/>
      <c r="Z219" s="359"/>
      <c r="AA219" s="359"/>
      <c r="AB219" s="359"/>
      <c r="AC219" s="359"/>
      <c r="AD219" s="359"/>
      <c r="AE219" s="359"/>
      <c r="AF219" s="359"/>
      <c r="AG219" s="359"/>
      <c r="AH219" s="359"/>
    </row>
    <row r="220" spans="1:34">
      <c r="A220" s="359"/>
      <c r="B220" s="359"/>
      <c r="C220" s="359"/>
      <c r="D220" s="359"/>
      <c r="E220" s="359"/>
      <c r="F220" s="359"/>
      <c r="G220" s="359"/>
      <c r="H220" s="359"/>
      <c r="I220" s="359"/>
      <c r="J220" s="359"/>
      <c r="K220" s="359"/>
      <c r="L220" s="359"/>
      <c r="M220" s="359"/>
      <c r="N220" s="359"/>
      <c r="O220" s="359"/>
      <c r="P220" s="359"/>
      <c r="Q220" s="359"/>
      <c r="R220" s="359"/>
      <c r="S220" s="359"/>
      <c r="T220" s="359"/>
      <c r="U220" s="359"/>
      <c r="V220" s="359"/>
      <c r="W220" s="359"/>
      <c r="X220" s="359"/>
      <c r="Y220" s="359"/>
      <c r="Z220" s="359"/>
      <c r="AA220" s="359"/>
      <c r="AB220" s="359"/>
      <c r="AC220" s="359"/>
      <c r="AD220" s="359"/>
      <c r="AE220" s="359"/>
      <c r="AF220" s="359"/>
      <c r="AG220" s="359"/>
      <c r="AH220" s="359"/>
    </row>
    <row r="221" spans="1:34">
      <c r="A221" s="359"/>
      <c r="B221" s="359"/>
      <c r="C221" s="359"/>
      <c r="D221" s="359"/>
      <c r="E221" s="359"/>
      <c r="F221" s="359"/>
      <c r="G221" s="359"/>
      <c r="H221" s="359"/>
      <c r="I221" s="359"/>
      <c r="J221" s="359"/>
      <c r="K221" s="359"/>
      <c r="L221" s="359"/>
      <c r="M221" s="359"/>
      <c r="N221" s="359"/>
      <c r="O221" s="359"/>
      <c r="P221" s="359"/>
      <c r="Q221" s="359"/>
      <c r="R221" s="359"/>
      <c r="S221" s="359"/>
      <c r="T221" s="359"/>
      <c r="U221" s="359"/>
      <c r="V221" s="359"/>
      <c r="W221" s="359"/>
      <c r="X221" s="359"/>
      <c r="Y221" s="359"/>
      <c r="Z221" s="359"/>
      <c r="AA221" s="359"/>
      <c r="AB221" s="359"/>
      <c r="AC221" s="359"/>
      <c r="AD221" s="359"/>
      <c r="AE221" s="359"/>
      <c r="AF221" s="359"/>
      <c r="AG221" s="359"/>
      <c r="AH221" s="359"/>
    </row>
    <row r="222" spans="1:34">
      <c r="A222" s="359"/>
      <c r="B222" s="359"/>
      <c r="C222" s="359"/>
      <c r="D222" s="359"/>
      <c r="E222" s="359"/>
      <c r="F222" s="359"/>
      <c r="G222" s="359"/>
      <c r="H222" s="359"/>
      <c r="I222" s="359"/>
      <c r="J222" s="359"/>
      <c r="K222" s="359"/>
      <c r="L222" s="359"/>
      <c r="M222" s="359"/>
      <c r="N222" s="359"/>
      <c r="O222" s="359"/>
      <c r="P222" s="359"/>
      <c r="Q222" s="359"/>
      <c r="R222" s="359"/>
      <c r="S222" s="359"/>
      <c r="T222" s="359"/>
      <c r="U222" s="359"/>
      <c r="V222" s="359"/>
      <c r="W222" s="359"/>
      <c r="X222" s="359"/>
      <c r="Y222" s="359"/>
      <c r="Z222" s="359"/>
      <c r="AA222" s="359"/>
      <c r="AB222" s="359"/>
      <c r="AC222" s="359"/>
      <c r="AD222" s="359"/>
      <c r="AE222" s="359"/>
      <c r="AF222" s="359"/>
      <c r="AG222" s="359"/>
      <c r="AH222" s="359"/>
    </row>
    <row r="223" spans="1:34">
      <c r="A223" s="359"/>
      <c r="B223" s="359"/>
      <c r="C223" s="359"/>
      <c r="D223" s="359"/>
      <c r="E223" s="359"/>
      <c r="F223" s="359"/>
      <c r="G223" s="359"/>
      <c r="H223" s="359"/>
      <c r="I223" s="359"/>
      <c r="J223" s="359"/>
      <c r="K223" s="359"/>
      <c r="L223" s="359"/>
      <c r="M223" s="359"/>
      <c r="N223" s="359"/>
      <c r="O223" s="359"/>
      <c r="P223" s="359"/>
      <c r="Q223" s="359"/>
      <c r="R223" s="359"/>
      <c r="S223" s="359"/>
      <c r="T223" s="359"/>
      <c r="U223" s="359"/>
      <c r="V223" s="359"/>
      <c r="W223" s="359"/>
      <c r="X223" s="359"/>
      <c r="Y223" s="359"/>
      <c r="Z223" s="359"/>
      <c r="AA223" s="359"/>
      <c r="AB223" s="359"/>
      <c r="AC223" s="359"/>
      <c r="AD223" s="359"/>
      <c r="AE223" s="359"/>
      <c r="AF223" s="359"/>
      <c r="AG223" s="359"/>
      <c r="AH223" s="359"/>
    </row>
    <row r="224" spans="1:34">
      <c r="A224" s="359"/>
      <c r="B224" s="359"/>
      <c r="C224" s="359"/>
      <c r="D224" s="359"/>
      <c r="E224" s="359"/>
      <c r="F224" s="359"/>
      <c r="G224" s="359"/>
      <c r="H224" s="359"/>
      <c r="I224" s="359"/>
      <c r="J224" s="359"/>
      <c r="K224" s="359"/>
      <c r="L224" s="359"/>
      <c r="M224" s="359"/>
      <c r="N224" s="359"/>
      <c r="O224" s="359"/>
      <c r="P224" s="359"/>
      <c r="Q224" s="359"/>
      <c r="R224" s="359"/>
      <c r="S224" s="359"/>
      <c r="T224" s="359"/>
      <c r="U224" s="359"/>
      <c r="V224" s="359"/>
      <c r="W224" s="359"/>
      <c r="X224" s="359"/>
      <c r="Y224" s="359"/>
      <c r="Z224" s="359"/>
      <c r="AA224" s="359"/>
      <c r="AB224" s="359"/>
      <c r="AC224" s="359"/>
      <c r="AD224" s="359"/>
      <c r="AE224" s="359"/>
      <c r="AF224" s="359"/>
      <c r="AG224" s="359"/>
      <c r="AH224" s="359"/>
    </row>
    <row r="225" spans="1:34">
      <c r="A225" s="359"/>
      <c r="B225" s="359"/>
      <c r="C225" s="359"/>
      <c r="D225" s="359"/>
      <c r="E225" s="359"/>
      <c r="F225" s="359"/>
      <c r="G225" s="359"/>
      <c r="H225" s="359"/>
      <c r="I225" s="359"/>
      <c r="J225" s="359"/>
      <c r="K225" s="359"/>
      <c r="L225" s="359"/>
      <c r="M225" s="359"/>
      <c r="N225" s="359"/>
      <c r="O225" s="359"/>
      <c r="P225" s="359"/>
      <c r="Q225" s="359"/>
      <c r="R225" s="359"/>
      <c r="S225" s="359"/>
      <c r="T225" s="359"/>
      <c r="U225" s="359"/>
      <c r="V225" s="359"/>
      <c r="W225" s="359"/>
      <c r="X225" s="359"/>
      <c r="Y225" s="359"/>
      <c r="Z225" s="359"/>
      <c r="AA225" s="359"/>
      <c r="AB225" s="359"/>
      <c r="AC225" s="359"/>
      <c r="AD225" s="359"/>
      <c r="AE225" s="359"/>
      <c r="AF225" s="359"/>
      <c r="AG225" s="359"/>
      <c r="AH225" s="359"/>
    </row>
    <row r="226" spans="1:34">
      <c r="A226" s="359"/>
      <c r="B226" s="359"/>
      <c r="C226" s="359"/>
      <c r="D226" s="359"/>
      <c r="E226" s="359"/>
      <c r="F226" s="359"/>
      <c r="G226" s="359"/>
      <c r="H226" s="359"/>
      <c r="I226" s="359"/>
      <c r="J226" s="359"/>
      <c r="K226" s="359"/>
      <c r="L226" s="359"/>
      <c r="M226" s="359"/>
      <c r="N226" s="359"/>
      <c r="O226" s="359"/>
      <c r="P226" s="359"/>
      <c r="Q226" s="359"/>
      <c r="R226" s="359"/>
      <c r="S226" s="359"/>
      <c r="T226" s="359"/>
      <c r="U226" s="359"/>
      <c r="V226" s="359"/>
      <c r="W226" s="359"/>
      <c r="X226" s="359"/>
      <c r="Y226" s="359"/>
      <c r="Z226" s="359"/>
      <c r="AA226" s="359"/>
      <c r="AB226" s="359"/>
      <c r="AC226" s="359"/>
      <c r="AD226" s="359"/>
      <c r="AE226" s="359"/>
      <c r="AF226" s="359"/>
      <c r="AG226" s="359"/>
      <c r="AH226" s="359"/>
    </row>
    <row r="227" spans="1:34">
      <c r="A227" s="359"/>
      <c r="B227" s="359"/>
      <c r="C227" s="359"/>
      <c r="D227" s="359"/>
      <c r="E227" s="359"/>
      <c r="F227" s="359"/>
      <c r="G227" s="359"/>
      <c r="H227" s="359"/>
      <c r="I227" s="359"/>
      <c r="J227" s="359"/>
      <c r="K227" s="359"/>
      <c r="L227" s="359"/>
      <c r="M227" s="359"/>
      <c r="N227" s="359"/>
      <c r="O227" s="359"/>
      <c r="P227" s="359"/>
      <c r="Q227" s="359"/>
      <c r="R227" s="359"/>
      <c r="S227" s="359"/>
      <c r="T227" s="359"/>
      <c r="U227" s="359"/>
      <c r="V227" s="359"/>
      <c r="W227" s="359"/>
      <c r="X227" s="359"/>
      <c r="Y227" s="359"/>
      <c r="Z227" s="359"/>
      <c r="AA227" s="359"/>
      <c r="AB227" s="359"/>
      <c r="AC227" s="359"/>
      <c r="AD227" s="359"/>
      <c r="AE227" s="359"/>
      <c r="AF227" s="359"/>
      <c r="AG227" s="359"/>
      <c r="AH227" s="359"/>
    </row>
    <row r="228" spans="1:34">
      <c r="A228" s="359"/>
      <c r="B228" s="359"/>
      <c r="C228" s="359"/>
      <c r="D228" s="359"/>
      <c r="E228" s="359"/>
      <c r="F228" s="359"/>
      <c r="G228" s="359"/>
      <c r="H228" s="359"/>
      <c r="I228" s="359"/>
      <c r="J228" s="359"/>
      <c r="K228" s="359"/>
      <c r="L228" s="359"/>
      <c r="M228" s="359"/>
      <c r="N228" s="359"/>
      <c r="O228" s="359"/>
      <c r="P228" s="359"/>
      <c r="Q228" s="359"/>
      <c r="R228" s="359"/>
      <c r="S228" s="359"/>
      <c r="T228" s="359"/>
      <c r="U228" s="359"/>
      <c r="V228" s="359"/>
      <c r="W228" s="359"/>
      <c r="X228" s="359"/>
      <c r="Y228" s="359"/>
      <c r="Z228" s="359"/>
      <c r="AA228" s="359"/>
      <c r="AB228" s="359"/>
      <c r="AC228" s="359"/>
      <c r="AD228" s="359"/>
      <c r="AE228" s="359"/>
      <c r="AF228" s="359"/>
      <c r="AG228" s="359"/>
      <c r="AH228" s="359"/>
    </row>
    <row r="229" spans="1:34">
      <c r="A229" s="359"/>
      <c r="B229" s="359"/>
      <c r="C229" s="359"/>
      <c r="D229" s="359"/>
      <c r="E229" s="359"/>
      <c r="F229" s="359"/>
      <c r="G229" s="359"/>
      <c r="H229" s="359"/>
      <c r="I229" s="359"/>
      <c r="J229" s="359"/>
      <c r="K229" s="359"/>
      <c r="L229" s="359"/>
      <c r="M229" s="359"/>
      <c r="N229" s="359"/>
      <c r="O229" s="359"/>
      <c r="P229" s="359"/>
      <c r="Q229" s="359"/>
      <c r="R229" s="359"/>
      <c r="S229" s="359"/>
      <c r="T229" s="359"/>
      <c r="U229" s="359"/>
      <c r="V229" s="359"/>
      <c r="W229" s="359"/>
      <c r="X229" s="359"/>
      <c r="Y229" s="359"/>
      <c r="Z229" s="359"/>
      <c r="AA229" s="359"/>
      <c r="AB229" s="359"/>
      <c r="AC229" s="359"/>
      <c r="AD229" s="359"/>
      <c r="AE229" s="359"/>
      <c r="AF229" s="359"/>
      <c r="AG229" s="359"/>
      <c r="AH229" s="359"/>
    </row>
    <row r="230" spans="1:34">
      <c r="A230" s="359"/>
      <c r="B230" s="359"/>
      <c r="C230" s="359"/>
      <c r="D230" s="359"/>
      <c r="E230" s="359"/>
      <c r="F230" s="359"/>
      <c r="G230" s="359"/>
      <c r="H230" s="359"/>
      <c r="I230" s="359"/>
      <c r="J230" s="359"/>
      <c r="K230" s="359"/>
      <c r="L230" s="359"/>
      <c r="M230" s="359"/>
      <c r="N230" s="359"/>
      <c r="O230" s="359"/>
      <c r="P230" s="359"/>
      <c r="Q230" s="359"/>
      <c r="R230" s="359"/>
      <c r="S230" s="359"/>
      <c r="T230" s="359"/>
      <c r="U230" s="359"/>
      <c r="V230" s="359"/>
      <c r="W230" s="359"/>
      <c r="X230" s="359"/>
      <c r="Y230" s="359"/>
      <c r="Z230" s="359"/>
      <c r="AA230" s="359"/>
      <c r="AB230" s="359"/>
      <c r="AC230" s="359"/>
      <c r="AD230" s="359"/>
      <c r="AE230" s="359"/>
      <c r="AF230" s="359"/>
      <c r="AG230" s="359"/>
      <c r="AH230" s="359"/>
    </row>
    <row r="231" spans="1:34">
      <c r="A231" s="359"/>
      <c r="B231" s="359"/>
      <c r="C231" s="359"/>
      <c r="D231" s="359"/>
      <c r="E231" s="359"/>
      <c r="F231" s="359"/>
      <c r="G231" s="359"/>
      <c r="H231" s="359"/>
      <c r="I231" s="359"/>
      <c r="J231" s="359"/>
      <c r="K231" s="359"/>
      <c r="L231" s="359"/>
      <c r="M231" s="359"/>
      <c r="N231" s="359"/>
      <c r="O231" s="359"/>
      <c r="P231" s="359"/>
      <c r="Q231" s="359"/>
      <c r="R231" s="359"/>
      <c r="S231" s="359"/>
      <c r="T231" s="359"/>
      <c r="U231" s="359"/>
      <c r="V231" s="359"/>
      <c r="W231" s="359"/>
      <c r="X231" s="359"/>
      <c r="Y231" s="359"/>
      <c r="Z231" s="359"/>
      <c r="AA231" s="359"/>
      <c r="AB231" s="359"/>
      <c r="AC231" s="359"/>
      <c r="AD231" s="359"/>
      <c r="AE231" s="359"/>
      <c r="AF231" s="359"/>
      <c r="AG231" s="359"/>
      <c r="AH231" s="359"/>
    </row>
    <row r="232" spans="1:34">
      <c r="A232" s="359"/>
      <c r="B232" s="359"/>
      <c r="C232" s="359"/>
      <c r="D232" s="359"/>
      <c r="E232" s="359"/>
      <c r="F232" s="359"/>
      <c r="G232" s="359"/>
      <c r="H232" s="359"/>
      <c r="I232" s="359"/>
      <c r="J232" s="359"/>
      <c r="K232" s="359"/>
      <c r="L232" s="359"/>
      <c r="M232" s="359"/>
      <c r="N232" s="359"/>
      <c r="O232" s="359"/>
      <c r="P232" s="359"/>
      <c r="Q232" s="359"/>
      <c r="R232" s="359"/>
      <c r="S232" s="359"/>
      <c r="T232" s="359"/>
      <c r="U232" s="359"/>
      <c r="V232" s="359"/>
      <c r="W232" s="359"/>
      <c r="X232" s="359"/>
      <c r="Y232" s="359"/>
      <c r="Z232" s="359"/>
      <c r="AA232" s="359"/>
      <c r="AB232" s="359"/>
      <c r="AC232" s="359"/>
      <c r="AD232" s="359"/>
      <c r="AE232" s="359"/>
      <c r="AF232" s="359"/>
      <c r="AG232" s="359"/>
      <c r="AH232" s="359"/>
    </row>
    <row r="233" spans="1:34">
      <c r="A233" s="359"/>
      <c r="B233" s="359"/>
      <c r="C233" s="359"/>
      <c r="D233" s="359"/>
      <c r="E233" s="359"/>
      <c r="F233" s="359"/>
      <c r="G233" s="359"/>
      <c r="H233" s="359"/>
      <c r="I233" s="359"/>
      <c r="J233" s="359"/>
      <c r="K233" s="359"/>
      <c r="L233" s="359"/>
      <c r="M233" s="359"/>
      <c r="N233" s="359"/>
      <c r="O233" s="359"/>
      <c r="P233" s="359"/>
      <c r="Q233" s="359"/>
      <c r="R233" s="359"/>
      <c r="S233" s="359"/>
      <c r="T233" s="359"/>
      <c r="U233" s="359"/>
      <c r="V233" s="359"/>
      <c r="W233" s="359"/>
      <c r="X233" s="359"/>
      <c r="Y233" s="359"/>
      <c r="Z233" s="359"/>
      <c r="AA233" s="359"/>
      <c r="AB233" s="359"/>
      <c r="AC233" s="359"/>
      <c r="AD233" s="359"/>
      <c r="AE233" s="359"/>
      <c r="AF233" s="359"/>
      <c r="AG233" s="359"/>
      <c r="AH233" s="359"/>
    </row>
    <row r="234" spans="1:34">
      <c r="A234" s="359"/>
      <c r="B234" s="359"/>
      <c r="C234" s="359"/>
      <c r="D234" s="359"/>
      <c r="E234" s="359"/>
      <c r="F234" s="359"/>
      <c r="G234" s="359"/>
      <c r="H234" s="359"/>
      <c r="I234" s="359"/>
      <c r="J234" s="359"/>
      <c r="K234" s="359"/>
      <c r="L234" s="359"/>
      <c r="M234" s="359"/>
      <c r="N234" s="359"/>
      <c r="O234" s="359"/>
      <c r="P234" s="359"/>
      <c r="Q234" s="359"/>
      <c r="R234" s="359"/>
      <c r="S234" s="359"/>
      <c r="T234" s="359"/>
      <c r="U234" s="359"/>
      <c r="V234" s="359"/>
      <c r="W234" s="359"/>
      <c r="X234" s="359"/>
      <c r="Y234" s="359"/>
      <c r="Z234" s="359"/>
      <c r="AA234" s="359"/>
      <c r="AB234" s="359"/>
      <c r="AC234" s="359"/>
      <c r="AD234" s="359"/>
      <c r="AE234" s="359"/>
      <c r="AF234" s="359"/>
      <c r="AG234" s="359"/>
      <c r="AH234" s="359"/>
    </row>
    <row r="235" spans="1:34">
      <c r="A235" s="359"/>
      <c r="B235" s="359"/>
      <c r="C235" s="359"/>
      <c r="D235" s="359"/>
      <c r="E235" s="359"/>
      <c r="F235" s="359"/>
      <c r="G235" s="359"/>
      <c r="H235" s="359"/>
      <c r="I235" s="359"/>
      <c r="J235" s="359"/>
      <c r="K235" s="359"/>
      <c r="L235" s="359"/>
      <c r="M235" s="359"/>
      <c r="N235" s="359"/>
      <c r="O235" s="359"/>
      <c r="P235" s="359"/>
      <c r="Q235" s="359"/>
      <c r="R235" s="359"/>
      <c r="S235" s="359"/>
      <c r="T235" s="359"/>
      <c r="U235" s="359"/>
      <c r="V235" s="359"/>
      <c r="W235" s="359"/>
      <c r="X235" s="359"/>
      <c r="Y235" s="359"/>
      <c r="Z235" s="359"/>
      <c r="AA235" s="359"/>
      <c r="AB235" s="359"/>
      <c r="AC235" s="359"/>
      <c r="AD235" s="359"/>
      <c r="AE235" s="359"/>
      <c r="AF235" s="359"/>
      <c r="AG235" s="359"/>
      <c r="AH235" s="359"/>
    </row>
    <row r="236" spans="1:34">
      <c r="A236" s="359"/>
      <c r="B236" s="359"/>
      <c r="C236" s="359"/>
      <c r="D236" s="359"/>
      <c r="E236" s="359"/>
      <c r="F236" s="359"/>
      <c r="G236" s="359"/>
      <c r="H236" s="359"/>
      <c r="I236" s="359"/>
      <c r="J236" s="359"/>
      <c r="K236" s="359"/>
      <c r="L236" s="359"/>
      <c r="M236" s="359"/>
      <c r="N236" s="359"/>
      <c r="O236" s="359"/>
      <c r="P236" s="359"/>
      <c r="Q236" s="359"/>
      <c r="R236" s="359"/>
      <c r="S236" s="359"/>
      <c r="T236" s="359"/>
      <c r="U236" s="359"/>
      <c r="V236" s="359"/>
      <c r="W236" s="359"/>
      <c r="X236" s="359"/>
      <c r="Y236" s="359"/>
      <c r="Z236" s="359"/>
      <c r="AA236" s="359"/>
      <c r="AB236" s="359"/>
      <c r="AC236" s="359"/>
      <c r="AD236" s="359"/>
      <c r="AE236" s="359"/>
      <c r="AF236" s="359"/>
      <c r="AG236" s="359"/>
      <c r="AH236" s="359"/>
    </row>
    <row r="237" spans="1:34">
      <c r="A237" s="359"/>
      <c r="B237" s="359"/>
      <c r="C237" s="359"/>
      <c r="D237" s="359"/>
      <c r="E237" s="359"/>
      <c r="F237" s="359"/>
      <c r="G237" s="359"/>
      <c r="H237" s="359"/>
      <c r="I237" s="359"/>
      <c r="J237" s="359"/>
      <c r="K237" s="359"/>
      <c r="L237" s="359"/>
      <c r="M237" s="359"/>
      <c r="N237" s="359"/>
      <c r="O237" s="359"/>
      <c r="P237" s="359"/>
      <c r="Q237" s="359"/>
      <c r="R237" s="359"/>
      <c r="S237" s="359"/>
      <c r="T237" s="359"/>
      <c r="U237" s="359"/>
      <c r="V237" s="359"/>
      <c r="W237" s="359"/>
      <c r="X237" s="359"/>
      <c r="Y237" s="359"/>
      <c r="Z237" s="359"/>
      <c r="AA237" s="359"/>
      <c r="AB237" s="359"/>
      <c r="AC237" s="359"/>
      <c r="AD237" s="359"/>
      <c r="AE237" s="359"/>
      <c r="AF237" s="359"/>
      <c r="AG237" s="359"/>
      <c r="AH237" s="359"/>
    </row>
    <row r="238" spans="1:34">
      <c r="A238" s="359"/>
      <c r="B238" s="359"/>
      <c r="C238" s="359"/>
      <c r="D238" s="359"/>
      <c r="E238" s="359"/>
      <c r="F238" s="359"/>
      <c r="G238" s="359"/>
      <c r="H238" s="359"/>
      <c r="I238" s="359"/>
      <c r="J238" s="359"/>
      <c r="K238" s="359"/>
      <c r="L238" s="359"/>
      <c r="M238" s="359"/>
      <c r="N238" s="359"/>
      <c r="O238" s="359"/>
      <c r="P238" s="359"/>
      <c r="Q238" s="359"/>
      <c r="R238" s="359"/>
      <c r="S238" s="359"/>
      <c r="T238" s="359"/>
      <c r="U238" s="359"/>
      <c r="V238" s="359"/>
      <c r="W238" s="359"/>
      <c r="X238" s="359"/>
      <c r="Y238" s="359"/>
      <c r="Z238" s="359"/>
      <c r="AA238" s="359"/>
      <c r="AB238" s="359"/>
      <c r="AC238" s="359"/>
      <c r="AD238" s="359"/>
      <c r="AE238" s="359"/>
      <c r="AF238" s="359"/>
      <c r="AG238" s="359"/>
      <c r="AH238" s="359"/>
    </row>
    <row r="239" spans="1:34">
      <c r="A239" s="359"/>
      <c r="B239" s="359"/>
      <c r="C239" s="359"/>
      <c r="D239" s="359"/>
      <c r="E239" s="359"/>
      <c r="F239" s="359"/>
      <c r="G239" s="359"/>
      <c r="H239" s="359"/>
      <c r="I239" s="359"/>
      <c r="J239" s="359"/>
      <c r="K239" s="359"/>
      <c r="L239" s="359"/>
      <c r="M239" s="359"/>
      <c r="N239" s="359"/>
      <c r="O239" s="359"/>
      <c r="P239" s="359"/>
      <c r="Q239" s="359"/>
      <c r="R239" s="359"/>
      <c r="S239" s="359"/>
      <c r="T239" s="359"/>
      <c r="U239" s="359"/>
      <c r="V239" s="359"/>
      <c r="W239" s="359"/>
      <c r="X239" s="359"/>
      <c r="Y239" s="359"/>
      <c r="Z239" s="359"/>
      <c r="AA239" s="359"/>
      <c r="AB239" s="359"/>
      <c r="AC239" s="359"/>
      <c r="AD239" s="359"/>
      <c r="AE239" s="359"/>
      <c r="AF239" s="359"/>
      <c r="AG239" s="359"/>
      <c r="AH239" s="359"/>
    </row>
    <row r="240" spans="1:34">
      <c r="A240" s="359"/>
      <c r="B240" s="359"/>
      <c r="C240" s="359"/>
      <c r="D240" s="359"/>
      <c r="E240" s="359"/>
      <c r="F240" s="359"/>
      <c r="G240" s="359"/>
      <c r="H240" s="359"/>
      <c r="I240" s="359"/>
      <c r="J240" s="359"/>
      <c r="K240" s="359"/>
      <c r="L240" s="359"/>
      <c r="M240" s="359"/>
      <c r="N240" s="359"/>
      <c r="O240" s="359"/>
      <c r="P240" s="359"/>
      <c r="Q240" s="359"/>
      <c r="R240" s="359"/>
      <c r="S240" s="359"/>
      <c r="T240" s="359"/>
      <c r="U240" s="359"/>
      <c r="V240" s="359"/>
      <c r="W240" s="359"/>
      <c r="X240" s="359"/>
      <c r="Y240" s="359"/>
      <c r="Z240" s="359"/>
      <c r="AA240" s="359"/>
      <c r="AB240" s="359"/>
      <c r="AC240" s="359"/>
      <c r="AD240" s="359"/>
      <c r="AE240" s="359"/>
      <c r="AF240" s="359"/>
      <c r="AG240" s="359"/>
      <c r="AH240" s="359"/>
    </row>
    <row r="241" spans="1:34">
      <c r="A241" s="359"/>
      <c r="B241" s="359"/>
      <c r="C241" s="359"/>
      <c r="D241" s="359"/>
      <c r="E241" s="359"/>
      <c r="F241" s="359"/>
      <c r="G241" s="359"/>
      <c r="H241" s="359"/>
      <c r="I241" s="359"/>
      <c r="J241" s="359"/>
      <c r="K241" s="359"/>
      <c r="L241" s="359"/>
      <c r="M241" s="359"/>
      <c r="N241" s="359"/>
      <c r="O241" s="359"/>
      <c r="P241" s="359"/>
      <c r="Q241" s="359"/>
      <c r="R241" s="359"/>
      <c r="S241" s="359"/>
      <c r="T241" s="359"/>
      <c r="U241" s="359"/>
      <c r="V241" s="359"/>
      <c r="W241" s="359"/>
      <c r="X241" s="359"/>
      <c r="Y241" s="359"/>
      <c r="Z241" s="359"/>
      <c r="AA241" s="359"/>
      <c r="AB241" s="359"/>
      <c r="AC241" s="359"/>
      <c r="AD241" s="359"/>
      <c r="AE241" s="359"/>
      <c r="AF241" s="359"/>
      <c r="AG241" s="359"/>
      <c r="AH241" s="359"/>
    </row>
    <row r="242" spans="1:34">
      <c r="A242" s="359"/>
      <c r="B242" s="359"/>
      <c r="C242" s="359"/>
      <c r="D242" s="359"/>
      <c r="E242" s="359"/>
      <c r="F242" s="359"/>
      <c r="G242" s="359"/>
      <c r="H242" s="359"/>
      <c r="I242" s="359"/>
      <c r="J242" s="359"/>
      <c r="K242" s="359"/>
      <c r="L242" s="359"/>
      <c r="M242" s="359"/>
      <c r="N242" s="359"/>
      <c r="O242" s="359"/>
      <c r="P242" s="359"/>
      <c r="Q242" s="359"/>
      <c r="R242" s="359"/>
      <c r="S242" s="359"/>
      <c r="T242" s="359"/>
      <c r="U242" s="359"/>
      <c r="V242" s="359"/>
      <c r="W242" s="359"/>
      <c r="X242" s="359"/>
      <c r="Y242" s="359"/>
      <c r="Z242" s="359"/>
      <c r="AA242" s="359"/>
      <c r="AB242" s="359"/>
      <c r="AC242" s="359"/>
      <c r="AD242" s="359"/>
      <c r="AE242" s="359"/>
      <c r="AF242" s="359"/>
      <c r="AG242" s="359"/>
      <c r="AH242" s="359"/>
    </row>
    <row r="243" spans="1:34">
      <c r="A243" s="359"/>
      <c r="B243" s="359"/>
      <c r="C243" s="359"/>
      <c r="D243" s="359"/>
      <c r="E243" s="359"/>
      <c r="F243" s="359"/>
      <c r="G243" s="359"/>
      <c r="H243" s="359"/>
      <c r="I243" s="359"/>
      <c r="J243" s="359"/>
      <c r="K243" s="359"/>
      <c r="L243" s="359"/>
      <c r="M243" s="359"/>
      <c r="N243" s="359"/>
      <c r="O243" s="359"/>
      <c r="P243" s="359"/>
      <c r="Q243" s="359"/>
      <c r="R243" s="359"/>
      <c r="S243" s="359"/>
      <c r="T243" s="359"/>
      <c r="U243" s="359"/>
      <c r="V243" s="359"/>
      <c r="W243" s="359"/>
      <c r="X243" s="359"/>
      <c r="Y243" s="359"/>
      <c r="Z243" s="359"/>
      <c r="AA243" s="359"/>
      <c r="AB243" s="359"/>
      <c r="AC243" s="359"/>
      <c r="AD243" s="359"/>
      <c r="AE243" s="359"/>
      <c r="AF243" s="359"/>
      <c r="AG243" s="359"/>
      <c r="AH243" s="359"/>
    </row>
    <row r="244" spans="1:34">
      <c r="A244" s="359"/>
      <c r="B244" s="359"/>
      <c r="C244" s="359"/>
      <c r="D244" s="359"/>
      <c r="E244" s="359"/>
      <c r="F244" s="359"/>
      <c r="G244" s="359"/>
      <c r="H244" s="359"/>
      <c r="I244" s="359"/>
      <c r="J244" s="359"/>
      <c r="K244" s="359"/>
      <c r="L244" s="359"/>
      <c r="M244" s="359"/>
      <c r="N244" s="359"/>
      <c r="O244" s="359"/>
      <c r="P244" s="359"/>
      <c r="Q244" s="359"/>
      <c r="R244" s="359"/>
      <c r="S244" s="359"/>
      <c r="T244" s="359"/>
      <c r="U244" s="359"/>
      <c r="V244" s="359"/>
      <c r="W244" s="359"/>
      <c r="X244" s="359"/>
      <c r="Y244" s="359"/>
      <c r="Z244" s="359"/>
      <c r="AA244" s="359"/>
      <c r="AB244" s="359"/>
      <c r="AC244" s="359"/>
      <c r="AD244" s="359"/>
      <c r="AE244" s="359"/>
      <c r="AF244" s="359"/>
      <c r="AG244" s="359"/>
      <c r="AH244" s="359"/>
    </row>
    <row r="245" spans="1:34">
      <c r="A245" s="359"/>
      <c r="B245" s="359"/>
      <c r="C245" s="359"/>
      <c r="D245" s="359"/>
      <c r="E245" s="359"/>
      <c r="F245" s="359"/>
      <c r="G245" s="359"/>
      <c r="H245" s="359"/>
      <c r="I245" s="359"/>
      <c r="J245" s="359"/>
      <c r="K245" s="359"/>
      <c r="L245" s="359"/>
      <c r="M245" s="359"/>
      <c r="N245" s="359"/>
      <c r="O245" s="359"/>
      <c r="P245" s="359"/>
      <c r="Q245" s="359"/>
      <c r="R245" s="359"/>
      <c r="S245" s="359"/>
      <c r="T245" s="359"/>
      <c r="U245" s="359"/>
      <c r="V245" s="359"/>
      <c r="W245" s="359"/>
      <c r="X245" s="359"/>
      <c r="Y245" s="359"/>
      <c r="Z245" s="359"/>
      <c r="AA245" s="359"/>
      <c r="AB245" s="359"/>
      <c r="AC245" s="359"/>
      <c r="AD245" s="359"/>
      <c r="AE245" s="359"/>
      <c r="AF245" s="359"/>
      <c r="AG245" s="359"/>
      <c r="AH245" s="359"/>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AB89"/>
  <sheetViews>
    <sheetView topLeftCell="B2" zoomScale="40" zoomScaleNormal="40" workbookViewId="0">
      <selection activeCell="F40" sqref="F40"/>
    </sheetView>
  </sheetViews>
  <sheetFormatPr defaultColWidth="8.83203125" defaultRowHeight="15"/>
  <cols>
    <col min="1" max="1" width="14.83203125" style="407" bestFit="1" customWidth="1"/>
    <col min="2" max="2" width="35.6640625" style="407" customWidth="1"/>
    <col min="3" max="3" width="6.33203125" style="407" customWidth="1"/>
    <col min="4" max="4" width="13.5" style="407" bestFit="1" customWidth="1"/>
    <col min="5" max="5" width="6.33203125" style="407" customWidth="1"/>
    <col min="6" max="6" width="13.5" style="407" bestFit="1" customWidth="1"/>
    <col min="7" max="7" width="6.33203125" style="407" customWidth="1"/>
    <col min="8" max="8" width="13.5" style="407" bestFit="1" customWidth="1"/>
    <col min="9" max="9" width="6.33203125" style="407" customWidth="1"/>
    <col min="10" max="10" width="13.5" style="407" bestFit="1" customWidth="1"/>
    <col min="11" max="11" width="6.33203125" style="407" customWidth="1"/>
    <col min="12" max="12" width="13.5" style="407" bestFit="1" customWidth="1"/>
    <col min="13" max="13" width="6.33203125" style="407" customWidth="1"/>
    <col min="14" max="14" width="13.5" style="407" bestFit="1" customWidth="1"/>
    <col min="15" max="15" width="6.33203125" style="407" customWidth="1"/>
    <col min="16" max="16" width="13.5" style="407" bestFit="1" customWidth="1"/>
    <col min="17" max="17" width="6.33203125" style="407" customWidth="1"/>
    <col min="18" max="18" width="13.5" style="407" bestFit="1" customWidth="1"/>
    <col min="19" max="19" width="6.33203125" style="407" customWidth="1"/>
    <col min="20" max="20" width="14.83203125" style="407" bestFit="1" customWidth="1"/>
    <col min="21" max="28" width="8.83203125" style="361"/>
    <col min="29" max="16384" width="8.83203125" style="407"/>
  </cols>
  <sheetData>
    <row r="1" spans="1:20" ht="23.25">
      <c r="A1" s="361"/>
      <c r="B1" s="362" t="s">
        <v>459</v>
      </c>
      <c r="C1" s="361"/>
      <c r="D1" s="361"/>
      <c r="E1" s="361"/>
      <c r="F1" s="361"/>
      <c r="G1" s="361"/>
      <c r="H1" s="361"/>
      <c r="I1" s="361"/>
      <c r="J1" s="361"/>
      <c r="K1" s="361"/>
      <c r="L1" s="361"/>
      <c r="M1" s="361"/>
      <c r="N1" s="361"/>
      <c r="O1" s="361"/>
      <c r="P1" s="361"/>
      <c r="Q1" s="361"/>
      <c r="R1" s="361"/>
      <c r="S1" s="361"/>
      <c r="T1" s="361" t="s">
        <v>521</v>
      </c>
    </row>
    <row r="2" spans="1:20">
      <c r="A2" s="361"/>
      <c r="B2" s="361" t="s">
        <v>460</v>
      </c>
      <c r="C2" s="361"/>
      <c r="D2" s="361"/>
      <c r="E2" s="361"/>
      <c r="F2" s="361"/>
      <c r="G2" s="361"/>
      <c r="H2" s="361"/>
      <c r="I2" s="361"/>
      <c r="J2" s="361"/>
      <c r="K2" s="361"/>
      <c r="L2" s="361"/>
      <c r="M2" s="361"/>
      <c r="N2" s="361"/>
      <c r="O2" s="361"/>
      <c r="P2" s="361"/>
      <c r="Q2" s="361"/>
      <c r="R2" s="361" t="s">
        <v>461</v>
      </c>
      <c r="S2" s="361"/>
      <c r="T2" s="361" t="s">
        <v>462</v>
      </c>
    </row>
    <row r="3" spans="1:20">
      <c r="A3" s="361"/>
      <c r="B3" s="361" t="s">
        <v>522</v>
      </c>
      <c r="C3" s="361"/>
      <c r="D3" s="361"/>
      <c r="E3" s="361"/>
      <c r="F3" s="361"/>
      <c r="G3" s="361"/>
      <c r="H3" s="361"/>
      <c r="I3" s="361"/>
      <c r="J3" s="361"/>
      <c r="K3" s="361"/>
      <c r="L3" s="361"/>
      <c r="M3" s="361"/>
      <c r="N3" s="361"/>
      <c r="O3" s="361"/>
      <c r="P3" s="361"/>
      <c r="Q3" s="361"/>
      <c r="R3" s="361" t="s">
        <v>463</v>
      </c>
      <c r="S3" s="361"/>
      <c r="T3" s="361" t="s">
        <v>464</v>
      </c>
    </row>
    <row r="4" spans="1:20">
      <c r="A4" s="361"/>
      <c r="B4" s="361" t="s">
        <v>465</v>
      </c>
      <c r="C4" s="361"/>
      <c r="D4" s="361"/>
      <c r="E4" s="361"/>
      <c r="F4" s="361"/>
      <c r="G4" s="361"/>
      <c r="H4" s="361"/>
      <c r="I4" s="361"/>
      <c r="J4" s="361"/>
      <c r="K4" s="361"/>
      <c r="L4" s="361"/>
      <c r="M4" s="361"/>
      <c r="N4" s="361"/>
      <c r="O4" s="361"/>
      <c r="P4" s="361"/>
      <c r="Q4" s="361"/>
      <c r="R4" s="361"/>
      <c r="S4" s="361"/>
      <c r="T4" s="361" t="s">
        <v>431</v>
      </c>
    </row>
    <row r="5" spans="1:20">
      <c r="A5" s="361"/>
      <c r="B5" s="361" t="s">
        <v>466</v>
      </c>
      <c r="C5" s="361"/>
      <c r="D5" s="361"/>
      <c r="E5" s="361"/>
      <c r="F5" s="361"/>
      <c r="G5" s="361"/>
      <c r="H5" s="361"/>
      <c r="I5" s="361"/>
      <c r="J5" s="361"/>
      <c r="K5" s="361"/>
      <c r="L5" s="361"/>
      <c r="M5" s="361"/>
      <c r="N5" s="361"/>
      <c r="O5" s="361"/>
      <c r="P5" s="361"/>
      <c r="Q5" s="361"/>
      <c r="R5" s="361"/>
      <c r="S5" s="361"/>
      <c r="T5" s="361" t="s">
        <v>523</v>
      </c>
    </row>
    <row r="6" spans="1:20">
      <c r="A6" s="361"/>
      <c r="B6" s="361" t="s">
        <v>524</v>
      </c>
      <c r="C6" s="361"/>
      <c r="D6" s="361"/>
      <c r="E6" s="361"/>
      <c r="F6" s="361"/>
      <c r="G6" s="361"/>
      <c r="H6" s="361"/>
      <c r="I6" s="361"/>
      <c r="J6" s="361"/>
      <c r="K6" s="361"/>
      <c r="L6" s="361"/>
      <c r="M6" s="361"/>
      <c r="N6" s="361"/>
      <c r="O6" s="361"/>
      <c r="P6" s="361"/>
      <c r="Q6" s="361"/>
      <c r="R6" s="361"/>
      <c r="S6" s="361"/>
      <c r="T6" s="361"/>
    </row>
    <row r="7" spans="1:20">
      <c r="A7" s="361"/>
      <c r="B7" s="361" t="s">
        <v>467</v>
      </c>
      <c r="C7" s="361"/>
      <c r="D7" s="361"/>
      <c r="E7" s="361"/>
      <c r="F7" s="361"/>
      <c r="G7" s="361"/>
      <c r="H7" s="361"/>
      <c r="I7" s="361"/>
      <c r="J7" s="361"/>
      <c r="K7" s="361"/>
      <c r="L7" s="361"/>
      <c r="M7" s="361"/>
      <c r="N7" s="361"/>
      <c r="O7" s="361"/>
      <c r="P7" s="361"/>
      <c r="Q7" s="361"/>
      <c r="R7" s="361"/>
      <c r="S7" s="361"/>
      <c r="T7" s="361"/>
    </row>
    <row r="8" spans="1:20">
      <c r="A8" s="361"/>
      <c r="B8" s="363" t="s">
        <v>468</v>
      </c>
      <c r="C8" s="361"/>
      <c r="D8" s="361"/>
      <c r="E8" s="361"/>
      <c r="F8" s="361"/>
      <c r="G8" s="361"/>
      <c r="H8" s="361"/>
      <c r="I8" s="361"/>
      <c r="J8" s="361"/>
      <c r="K8" s="361"/>
      <c r="L8" s="361"/>
      <c r="M8" s="361"/>
      <c r="N8" s="361"/>
      <c r="O8" s="361"/>
      <c r="P8" s="361"/>
      <c r="Q8" s="361"/>
      <c r="R8" s="361"/>
      <c r="S8" s="361"/>
      <c r="T8" s="361"/>
    </row>
    <row r="9" spans="1:20">
      <c r="A9" s="361"/>
      <c r="B9" s="361"/>
      <c r="C9" s="361"/>
      <c r="D9" s="361"/>
      <c r="E9" s="361"/>
      <c r="F9" s="361"/>
      <c r="G9" s="361"/>
      <c r="H9" s="361"/>
      <c r="I9" s="361"/>
      <c r="J9" s="361"/>
      <c r="K9" s="361"/>
      <c r="L9" s="361"/>
      <c r="M9" s="361"/>
      <c r="N9" s="361"/>
      <c r="O9" s="361"/>
      <c r="P9" s="361"/>
      <c r="Q9" s="361"/>
      <c r="R9" s="361"/>
      <c r="S9" s="361"/>
      <c r="T9" s="361"/>
    </row>
    <row r="10" spans="1:20">
      <c r="A10" s="361"/>
      <c r="B10" s="363" t="s">
        <v>469</v>
      </c>
      <c r="C10" s="361"/>
      <c r="D10" s="361"/>
      <c r="E10" s="361"/>
      <c r="F10" s="361"/>
      <c r="G10" s="361"/>
      <c r="H10" s="361"/>
      <c r="I10" s="361"/>
      <c r="J10" s="361"/>
      <c r="K10" s="361"/>
      <c r="L10" s="361"/>
      <c r="M10" s="361"/>
      <c r="N10" s="361"/>
      <c r="O10" s="361"/>
      <c r="P10" s="361"/>
      <c r="Q10" s="361"/>
      <c r="R10" s="361"/>
      <c r="S10" s="361"/>
      <c r="T10" s="361"/>
    </row>
    <row r="11" spans="1:20" ht="15.75" thickBot="1">
      <c r="A11" s="361"/>
      <c r="B11" s="364" t="s">
        <v>470</v>
      </c>
      <c r="C11" s="364"/>
      <c r="D11" s="364" t="s">
        <v>471</v>
      </c>
      <c r="E11" s="364"/>
      <c r="F11" s="364" t="s">
        <v>472</v>
      </c>
      <c r="G11" s="364"/>
      <c r="H11" s="364" t="s">
        <v>473</v>
      </c>
      <c r="I11" s="364"/>
      <c r="J11" s="364" t="s">
        <v>474</v>
      </c>
      <c r="K11" s="364"/>
      <c r="L11" s="364" t="s">
        <v>475</v>
      </c>
      <c r="M11" s="364"/>
      <c r="N11" s="364" t="s">
        <v>476</v>
      </c>
      <c r="O11" s="364"/>
      <c r="P11" s="364" t="s">
        <v>477</v>
      </c>
      <c r="Q11" s="364"/>
      <c r="R11" s="364" t="s">
        <v>478</v>
      </c>
      <c r="S11" s="364"/>
      <c r="T11" s="364" t="s">
        <v>479</v>
      </c>
    </row>
    <row r="12" spans="1:20" ht="15.75" thickBot="1">
      <c r="A12" s="365" t="s">
        <v>480</v>
      </c>
      <c r="B12" s="366" t="s">
        <v>169</v>
      </c>
      <c r="C12" s="366" t="s">
        <v>461</v>
      </c>
      <c r="D12" s="366" t="s">
        <v>525</v>
      </c>
      <c r="E12" s="366" t="s">
        <v>461</v>
      </c>
      <c r="F12" s="366" t="s">
        <v>117</v>
      </c>
      <c r="G12" s="366" t="s">
        <v>463</v>
      </c>
      <c r="H12" s="366" t="s">
        <v>526</v>
      </c>
      <c r="I12" s="366" t="s">
        <v>463</v>
      </c>
      <c r="J12" s="366" t="s">
        <v>481</v>
      </c>
      <c r="K12" s="366" t="s">
        <v>463</v>
      </c>
      <c r="L12" s="366"/>
      <c r="M12" s="366" t="s">
        <v>463</v>
      </c>
      <c r="N12" s="366"/>
      <c r="O12" s="366" t="s">
        <v>463</v>
      </c>
      <c r="P12" s="366"/>
      <c r="Q12" s="366" t="s">
        <v>463</v>
      </c>
      <c r="R12" s="366"/>
      <c r="S12" s="366" t="s">
        <v>463</v>
      </c>
      <c r="T12" s="367"/>
    </row>
    <row r="13" spans="1:20" ht="15.75" thickBot="1">
      <c r="A13" s="368" t="s">
        <v>482</v>
      </c>
      <c r="B13" s="369"/>
      <c r="C13" s="369">
        <f>IF(C12="&gt;",1,0)</f>
        <v>1</v>
      </c>
      <c r="D13" s="369"/>
      <c r="E13" s="369">
        <f>IF(E12="&gt;",1,0)</f>
        <v>1</v>
      </c>
      <c r="F13" s="369"/>
      <c r="G13" s="369">
        <f>IF(G12="&gt;",1,0)</f>
        <v>0</v>
      </c>
      <c r="H13" s="369"/>
      <c r="I13" s="369">
        <f>IF(I12="&gt;",1,0)</f>
        <v>0</v>
      </c>
      <c r="J13" s="369"/>
      <c r="K13" s="369">
        <f>IF(K12="&gt;",1,0)</f>
        <v>0</v>
      </c>
      <c r="L13" s="369"/>
      <c r="M13" s="369">
        <f>IF(M12="&gt;",1,0)</f>
        <v>0</v>
      </c>
      <c r="N13" s="369"/>
      <c r="O13" s="369">
        <f>IF(O12="&gt;",1,0)</f>
        <v>0</v>
      </c>
      <c r="P13" s="369"/>
      <c r="Q13" s="369">
        <f>IF(Q12="&gt;",1,0)</f>
        <v>0</v>
      </c>
      <c r="R13" s="369"/>
      <c r="S13" s="369">
        <f>IF(S12="&gt;",1,0)</f>
        <v>0</v>
      </c>
      <c r="T13" s="370"/>
    </row>
    <row r="14" spans="1:20">
      <c r="A14" s="361"/>
      <c r="B14" s="361"/>
      <c r="C14" s="361"/>
      <c r="D14" s="361"/>
      <c r="E14" s="361"/>
      <c r="F14" s="361"/>
      <c r="G14" s="361"/>
      <c r="H14" s="361"/>
      <c r="I14" s="361"/>
      <c r="J14" s="361"/>
      <c r="K14" s="361"/>
      <c r="L14" s="361"/>
      <c r="M14" s="361"/>
      <c r="N14" s="361"/>
      <c r="O14" s="361"/>
      <c r="P14" s="361"/>
      <c r="Q14" s="361"/>
      <c r="R14" s="361"/>
      <c r="S14" s="361"/>
      <c r="T14" s="361"/>
    </row>
    <row r="15" spans="1:20" ht="15.75" thickBot="1">
      <c r="A15" s="363" t="s">
        <v>527</v>
      </c>
      <c r="B15" s="361"/>
      <c r="C15" s="361"/>
      <c r="D15" s="361"/>
      <c r="E15" s="361"/>
      <c r="F15" s="361"/>
      <c r="G15" s="361"/>
      <c r="H15" s="361"/>
      <c r="I15" s="361"/>
      <c r="J15" s="361"/>
      <c r="K15" s="361"/>
      <c r="L15" s="361"/>
      <c r="M15" s="361"/>
      <c r="N15" s="361"/>
      <c r="O15" s="361"/>
      <c r="P15" s="361"/>
      <c r="Q15" s="361"/>
      <c r="R15" s="361"/>
      <c r="S15" s="361"/>
      <c r="T15" s="361"/>
    </row>
    <row r="16" spans="1:20" ht="129" thickBot="1">
      <c r="A16" s="365" t="s">
        <v>483</v>
      </c>
      <c r="B16" s="371" t="s">
        <v>528</v>
      </c>
      <c r="C16" s="372" t="str">
        <f>B17</f>
        <v>Mass</v>
      </c>
      <c r="D16" s="372" t="str">
        <f>B18</f>
        <v>Cost</v>
      </c>
      <c r="E16" s="372" t="str">
        <f>B19</f>
        <v>Power</v>
      </c>
      <c r="F16" s="372" t="str">
        <f>B20</f>
        <v>Equilibrium temperature</v>
      </c>
      <c r="G16" s="372" t="str">
        <f>B21</f>
        <v>E</v>
      </c>
      <c r="H16" s="372" t="str">
        <f>B22</f>
        <v/>
      </c>
      <c r="I16" s="372" t="str">
        <f>B23</f>
        <v/>
      </c>
      <c r="J16" s="372" t="str">
        <f>B24</f>
        <v/>
      </c>
      <c r="K16" s="372" t="str">
        <f>B25</f>
        <v/>
      </c>
      <c r="L16" s="372" t="str">
        <f>B26</f>
        <v/>
      </c>
      <c r="M16" s="373" t="s">
        <v>484</v>
      </c>
      <c r="N16" s="374" t="s">
        <v>485</v>
      </c>
      <c r="O16" s="373"/>
      <c r="P16" s="374" t="s">
        <v>486</v>
      </c>
      <c r="Q16" s="361"/>
      <c r="R16" s="361"/>
      <c r="S16" s="361"/>
      <c r="T16" s="361"/>
    </row>
    <row r="17" spans="1:20">
      <c r="A17" s="375">
        <v>1</v>
      </c>
      <c r="B17" s="376" t="str">
        <f>IF(B12="","",B12)</f>
        <v>Mass</v>
      </c>
      <c r="C17" s="377"/>
      <c r="D17" s="378">
        <f>IF(D16="",0,C13)</f>
        <v>1</v>
      </c>
      <c r="E17" s="378">
        <f>IF(E$16="",0,MAX(D17,E$13))</f>
        <v>1</v>
      </c>
      <c r="F17" s="378">
        <f>IF(F$16="",0,MAX(E17,G$13))</f>
        <v>1</v>
      </c>
      <c r="G17" s="378">
        <f>IF(F$16="",0,MAX(F17,I$13))</f>
        <v>1</v>
      </c>
      <c r="H17" s="378">
        <f>IF(H$16="",0,MAX(G17,K$13))</f>
        <v>0</v>
      </c>
      <c r="I17" s="378">
        <f>IF(I$16="",0,MAX(H17,M$13))</f>
        <v>0</v>
      </c>
      <c r="J17" s="378">
        <f>IF(J$16="",0,MAX(I17,O$13))</f>
        <v>0</v>
      </c>
      <c r="K17" s="378">
        <f>IF(K$16="",0,MAX(J17,Q$13))</f>
        <v>0</v>
      </c>
      <c r="L17" s="379">
        <f>IF(L$16="",0,MAX(K17,S$13))</f>
        <v>0</v>
      </c>
      <c r="M17" s="380">
        <f>IF(B17="","",SUM(C17:L17))</f>
        <v>4</v>
      </c>
      <c r="N17" s="381">
        <f>IF(B17="","",M17+ABS(MIN($M$17:$M$26))+1)</f>
        <v>7</v>
      </c>
      <c r="O17" s="380"/>
      <c r="P17" s="381">
        <f>IF(B17="","",N17/SUM($N$17:$N$26))</f>
        <v>0.46666666666666667</v>
      </c>
      <c r="Q17" s="361"/>
      <c r="R17" s="382"/>
      <c r="S17" s="361"/>
      <c r="T17" s="361"/>
    </row>
    <row r="18" spans="1:20">
      <c r="A18" s="375">
        <v>2</v>
      </c>
      <c r="B18" s="376" t="str">
        <f>IF(D12="","",D12)</f>
        <v>Cost</v>
      </c>
      <c r="C18" s="383">
        <f>-D17</f>
        <v>-1</v>
      </c>
      <c r="D18" s="384"/>
      <c r="E18" s="385">
        <f>IF(E$16="",0,MAX(D18,E$13))</f>
        <v>1</v>
      </c>
      <c r="F18" s="385">
        <f t="shared" ref="F18:F19" si="0">IF(F$16="",0,MAX(E18,G$13))</f>
        <v>1</v>
      </c>
      <c r="G18" s="385">
        <f t="shared" ref="G18:G20" si="1">IF(F$16="",0,MAX(F18,I$13))</f>
        <v>1</v>
      </c>
      <c r="H18" s="385">
        <f t="shared" ref="H18:H21" si="2">IF(H$16="",0,MAX(G18,K$13))</f>
        <v>0</v>
      </c>
      <c r="I18" s="385">
        <f t="shared" ref="I18:I22" si="3">IF(I$16="",0,MAX(H18,M$13))</f>
        <v>0</v>
      </c>
      <c r="J18" s="385">
        <f t="shared" ref="J18:J23" si="4">IF(J$16="",0,MAX(I18,O$13))</f>
        <v>0</v>
      </c>
      <c r="K18" s="385">
        <f t="shared" ref="K18:K24" si="5">IF(K$16="",0,MAX(J18,Q$13))</f>
        <v>0</v>
      </c>
      <c r="L18" s="386">
        <f t="shared" ref="L18:L25" si="6">IF(L$16="",0,MAX(K18,S$13))</f>
        <v>0</v>
      </c>
      <c r="M18" s="387">
        <f t="shared" ref="M18:M26" si="7">IF(B18="","",SUM(C18:L18))</f>
        <v>2</v>
      </c>
      <c r="N18" s="388">
        <f t="shared" ref="N18:N26" si="8">IF(B18="","",M18+ABS(MIN($M$17:$M$26))+1)</f>
        <v>5</v>
      </c>
      <c r="O18" s="387"/>
      <c r="P18" s="388">
        <f t="shared" ref="P18:P26" si="9">IF(B18="","",N18/SUM($N$17:$N$26))</f>
        <v>0.33333333333333331</v>
      </c>
      <c r="Q18" s="361"/>
      <c r="R18" s="382"/>
      <c r="S18" s="361"/>
      <c r="T18" s="361"/>
    </row>
    <row r="19" spans="1:20">
      <c r="A19" s="375">
        <v>3</v>
      </c>
      <c r="B19" s="376" t="str">
        <f>IF(F12="","",F12)</f>
        <v>Power</v>
      </c>
      <c r="C19" s="383">
        <f>-E17</f>
        <v>-1</v>
      </c>
      <c r="D19" s="385">
        <f>-E18</f>
        <v>-1</v>
      </c>
      <c r="E19" s="384"/>
      <c r="F19" s="385">
        <f t="shared" si="0"/>
        <v>0</v>
      </c>
      <c r="G19" s="385">
        <f t="shared" si="1"/>
        <v>0</v>
      </c>
      <c r="H19" s="385">
        <f t="shared" si="2"/>
        <v>0</v>
      </c>
      <c r="I19" s="385">
        <f t="shared" si="3"/>
        <v>0</v>
      </c>
      <c r="J19" s="385">
        <f t="shared" si="4"/>
        <v>0</v>
      </c>
      <c r="K19" s="385">
        <f t="shared" si="5"/>
        <v>0</v>
      </c>
      <c r="L19" s="386">
        <f t="shared" si="6"/>
        <v>0</v>
      </c>
      <c r="M19" s="387">
        <f t="shared" si="7"/>
        <v>-2</v>
      </c>
      <c r="N19" s="388">
        <f t="shared" si="8"/>
        <v>1</v>
      </c>
      <c r="O19" s="387"/>
      <c r="P19" s="388">
        <f t="shared" si="9"/>
        <v>6.6666666666666666E-2</v>
      </c>
      <c r="Q19" s="361"/>
      <c r="R19" s="382"/>
      <c r="S19" s="361"/>
      <c r="T19" s="361"/>
    </row>
    <row r="20" spans="1:20">
      <c r="A20" s="375">
        <v>4</v>
      </c>
      <c r="B20" s="376" t="str">
        <f>IF(H12="","",H12)</f>
        <v>Equilibrium temperature</v>
      </c>
      <c r="C20" s="383">
        <f>-F17</f>
        <v>-1</v>
      </c>
      <c r="D20" s="385">
        <f>-F18</f>
        <v>-1</v>
      </c>
      <c r="E20" s="385">
        <f>-F19</f>
        <v>0</v>
      </c>
      <c r="F20" s="384"/>
      <c r="G20" s="385">
        <f t="shared" si="1"/>
        <v>0</v>
      </c>
      <c r="H20" s="385">
        <f t="shared" si="2"/>
        <v>0</v>
      </c>
      <c r="I20" s="385">
        <f t="shared" si="3"/>
        <v>0</v>
      </c>
      <c r="J20" s="385">
        <f t="shared" si="4"/>
        <v>0</v>
      </c>
      <c r="K20" s="385">
        <f t="shared" si="5"/>
        <v>0</v>
      </c>
      <c r="L20" s="386">
        <f t="shared" si="6"/>
        <v>0</v>
      </c>
      <c r="M20" s="387">
        <f t="shared" si="7"/>
        <v>-2</v>
      </c>
      <c r="N20" s="388">
        <f t="shared" si="8"/>
        <v>1</v>
      </c>
      <c r="O20" s="387"/>
      <c r="P20" s="388">
        <f t="shared" si="9"/>
        <v>6.6666666666666666E-2</v>
      </c>
      <c r="Q20" s="361"/>
      <c r="R20" s="382"/>
      <c r="S20" s="361"/>
      <c r="T20" s="361"/>
    </row>
    <row r="21" spans="1:20">
      <c r="A21" s="375">
        <v>5</v>
      </c>
      <c r="B21" s="376" t="str">
        <f>IF(J12="","",J12)</f>
        <v>E</v>
      </c>
      <c r="C21" s="383">
        <f>-G17</f>
        <v>-1</v>
      </c>
      <c r="D21" s="385">
        <f>-G18</f>
        <v>-1</v>
      </c>
      <c r="E21" s="385">
        <f>-G19</f>
        <v>0</v>
      </c>
      <c r="F21" s="385">
        <f>-G20</f>
        <v>0</v>
      </c>
      <c r="G21" s="384"/>
      <c r="H21" s="385">
        <f t="shared" si="2"/>
        <v>0</v>
      </c>
      <c r="I21" s="385">
        <f t="shared" si="3"/>
        <v>0</v>
      </c>
      <c r="J21" s="385">
        <f t="shared" si="4"/>
        <v>0</v>
      </c>
      <c r="K21" s="385">
        <f t="shared" si="5"/>
        <v>0</v>
      </c>
      <c r="L21" s="386">
        <f t="shared" si="6"/>
        <v>0</v>
      </c>
      <c r="M21" s="387">
        <f t="shared" si="7"/>
        <v>-2</v>
      </c>
      <c r="N21" s="388">
        <f t="shared" si="8"/>
        <v>1</v>
      </c>
      <c r="O21" s="387"/>
      <c r="P21" s="388">
        <f t="shared" si="9"/>
        <v>6.6666666666666666E-2</v>
      </c>
      <c r="Q21" s="361"/>
      <c r="R21" s="382"/>
      <c r="S21" s="361"/>
      <c r="T21" s="361"/>
    </row>
    <row r="22" spans="1:20">
      <c r="A22" s="375">
        <v>6</v>
      </c>
      <c r="B22" s="376" t="str">
        <f>IF(L12="","",L12)</f>
        <v/>
      </c>
      <c r="C22" s="383">
        <f>-H17</f>
        <v>0</v>
      </c>
      <c r="D22" s="385">
        <f>-H18</f>
        <v>0</v>
      </c>
      <c r="E22" s="385">
        <f>-H19</f>
        <v>0</v>
      </c>
      <c r="F22" s="385">
        <f>-H20</f>
        <v>0</v>
      </c>
      <c r="G22" s="385">
        <f>-H21</f>
        <v>0</v>
      </c>
      <c r="H22" s="384"/>
      <c r="I22" s="385">
        <f t="shared" si="3"/>
        <v>0</v>
      </c>
      <c r="J22" s="385">
        <f t="shared" si="4"/>
        <v>0</v>
      </c>
      <c r="K22" s="385">
        <f t="shared" si="5"/>
        <v>0</v>
      </c>
      <c r="L22" s="386">
        <f t="shared" si="6"/>
        <v>0</v>
      </c>
      <c r="M22" s="387" t="str">
        <f t="shared" si="7"/>
        <v/>
      </c>
      <c r="N22" s="388" t="str">
        <f>IF(B22="","",M22+ABS(MIN($M$17:$M$26))+1)</f>
        <v/>
      </c>
      <c r="O22" s="387"/>
      <c r="P22" s="388" t="str">
        <f t="shared" si="9"/>
        <v/>
      </c>
      <c r="Q22" s="361"/>
      <c r="R22" s="382"/>
      <c r="S22" s="361"/>
      <c r="T22" s="361"/>
    </row>
    <row r="23" spans="1:20">
      <c r="A23" s="375">
        <v>7</v>
      </c>
      <c r="B23" s="376" t="str">
        <f>IF(N12="","",N12)</f>
        <v/>
      </c>
      <c r="C23" s="383">
        <f>-I17</f>
        <v>0</v>
      </c>
      <c r="D23" s="385">
        <f>-I18</f>
        <v>0</v>
      </c>
      <c r="E23" s="385">
        <f>-I19</f>
        <v>0</v>
      </c>
      <c r="F23" s="385">
        <f>-I20</f>
        <v>0</v>
      </c>
      <c r="G23" s="385">
        <f>-I21</f>
        <v>0</v>
      </c>
      <c r="H23" s="385">
        <f>-I22</f>
        <v>0</v>
      </c>
      <c r="I23" s="384"/>
      <c r="J23" s="385">
        <f t="shared" si="4"/>
        <v>0</v>
      </c>
      <c r="K23" s="385">
        <f t="shared" si="5"/>
        <v>0</v>
      </c>
      <c r="L23" s="386">
        <f t="shared" si="6"/>
        <v>0</v>
      </c>
      <c r="M23" s="387" t="str">
        <f t="shared" si="7"/>
        <v/>
      </c>
      <c r="N23" s="388" t="str">
        <f t="shared" si="8"/>
        <v/>
      </c>
      <c r="O23" s="387"/>
      <c r="P23" s="388" t="str">
        <f t="shared" si="9"/>
        <v/>
      </c>
      <c r="Q23" s="361"/>
      <c r="R23" s="382"/>
      <c r="S23" s="361"/>
      <c r="T23" s="361"/>
    </row>
    <row r="24" spans="1:20">
      <c r="A24" s="375">
        <v>8</v>
      </c>
      <c r="B24" s="376" t="str">
        <f>IF(P12="","",P12)</f>
        <v/>
      </c>
      <c r="C24" s="383">
        <f>-J17</f>
        <v>0</v>
      </c>
      <c r="D24" s="385">
        <f>-J18</f>
        <v>0</v>
      </c>
      <c r="E24" s="385">
        <f>-J19</f>
        <v>0</v>
      </c>
      <c r="F24" s="385">
        <f>-J20</f>
        <v>0</v>
      </c>
      <c r="G24" s="385">
        <f>-J21</f>
        <v>0</v>
      </c>
      <c r="H24" s="385">
        <f>-J22</f>
        <v>0</v>
      </c>
      <c r="I24" s="385">
        <f>-J23</f>
        <v>0</v>
      </c>
      <c r="J24" s="384"/>
      <c r="K24" s="385">
        <f t="shared" si="5"/>
        <v>0</v>
      </c>
      <c r="L24" s="386">
        <f t="shared" si="6"/>
        <v>0</v>
      </c>
      <c r="M24" s="387" t="str">
        <f t="shared" si="7"/>
        <v/>
      </c>
      <c r="N24" s="388" t="str">
        <f t="shared" si="8"/>
        <v/>
      </c>
      <c r="O24" s="387"/>
      <c r="P24" s="388" t="str">
        <f t="shared" si="9"/>
        <v/>
      </c>
      <c r="Q24" s="361"/>
      <c r="R24" s="382"/>
      <c r="S24" s="361"/>
      <c r="T24" s="361"/>
    </row>
    <row r="25" spans="1:20">
      <c r="A25" s="375">
        <v>9</v>
      </c>
      <c r="B25" s="376" t="str">
        <f>IF(R12="","",R12)</f>
        <v/>
      </c>
      <c r="C25" s="383">
        <f>-K17</f>
        <v>0</v>
      </c>
      <c r="D25" s="385">
        <f>-K18</f>
        <v>0</v>
      </c>
      <c r="E25" s="385">
        <f>-K19</f>
        <v>0</v>
      </c>
      <c r="F25" s="385">
        <f>-K20</f>
        <v>0</v>
      </c>
      <c r="G25" s="385">
        <f>-K21</f>
        <v>0</v>
      </c>
      <c r="H25" s="385">
        <f>-K22</f>
        <v>0</v>
      </c>
      <c r="I25" s="385">
        <f>-K23</f>
        <v>0</v>
      </c>
      <c r="J25" s="385">
        <f>-K24</f>
        <v>0</v>
      </c>
      <c r="K25" s="384"/>
      <c r="L25" s="386">
        <f t="shared" si="6"/>
        <v>0</v>
      </c>
      <c r="M25" s="387" t="str">
        <f t="shared" si="7"/>
        <v/>
      </c>
      <c r="N25" s="388" t="str">
        <f t="shared" si="8"/>
        <v/>
      </c>
      <c r="O25" s="387"/>
      <c r="P25" s="388" t="str">
        <f t="shared" si="9"/>
        <v/>
      </c>
      <c r="Q25" s="361"/>
      <c r="R25" s="382"/>
      <c r="S25" s="361"/>
      <c r="T25" s="361"/>
    </row>
    <row r="26" spans="1:20" ht="15.75" thickBot="1">
      <c r="A26" s="389">
        <v>10</v>
      </c>
      <c r="B26" s="390" t="str">
        <f>IF(T12="","",T12)</f>
        <v/>
      </c>
      <c r="C26" s="391">
        <f>-L17</f>
        <v>0</v>
      </c>
      <c r="D26" s="392">
        <f>-L18</f>
        <v>0</v>
      </c>
      <c r="E26" s="392">
        <f>-L19</f>
        <v>0</v>
      </c>
      <c r="F26" s="392">
        <f>-L20</f>
        <v>0</v>
      </c>
      <c r="G26" s="392">
        <f>-L21</f>
        <v>0</v>
      </c>
      <c r="H26" s="392">
        <f>-L22</f>
        <v>0</v>
      </c>
      <c r="I26" s="392">
        <f>-L23</f>
        <v>0</v>
      </c>
      <c r="J26" s="392">
        <f>-L24</f>
        <v>0</v>
      </c>
      <c r="K26" s="392">
        <f>-L25</f>
        <v>0</v>
      </c>
      <c r="L26" s="393"/>
      <c r="M26" s="394" t="str">
        <f t="shared" si="7"/>
        <v/>
      </c>
      <c r="N26" s="395" t="str">
        <f t="shared" si="8"/>
        <v/>
      </c>
      <c r="O26" s="394"/>
      <c r="P26" s="395" t="str">
        <f t="shared" si="9"/>
        <v/>
      </c>
      <c r="Q26" s="361"/>
      <c r="R26" s="382"/>
      <c r="S26" s="361"/>
      <c r="T26" s="382"/>
    </row>
    <row r="27" spans="1:20">
      <c r="A27" s="361"/>
      <c r="B27" s="361"/>
      <c r="C27" s="361"/>
      <c r="D27" s="361"/>
      <c r="E27" s="361"/>
      <c r="F27" s="361"/>
      <c r="G27" s="361"/>
      <c r="H27" s="361"/>
      <c r="I27" s="361"/>
      <c r="J27" s="361"/>
      <c r="K27" s="361"/>
      <c r="L27" s="361"/>
      <c r="M27" s="361"/>
      <c r="N27" s="361"/>
      <c r="O27" s="361"/>
      <c r="P27" s="361"/>
      <c r="Q27" s="361"/>
      <c r="R27" s="361"/>
      <c r="S27" s="361"/>
      <c r="T27" s="361"/>
    </row>
    <row r="28" spans="1:20">
      <c r="A28" s="361"/>
      <c r="B28" s="361"/>
      <c r="C28" s="361"/>
      <c r="D28" s="361"/>
      <c r="E28" s="361"/>
      <c r="F28" s="361"/>
      <c r="G28" s="361"/>
      <c r="H28" s="361"/>
      <c r="I28" s="361"/>
      <c r="J28" s="361"/>
      <c r="K28" s="361"/>
      <c r="L28" s="361"/>
      <c r="M28" s="361"/>
      <c r="N28" s="361"/>
      <c r="O28" s="361"/>
      <c r="P28" s="382"/>
      <c r="Q28" s="382"/>
      <c r="R28" s="361"/>
      <c r="S28" s="361"/>
      <c r="T28" s="361"/>
    </row>
    <row r="29" spans="1:20" ht="15.75" thickBot="1">
      <c r="A29" s="363" t="s">
        <v>487</v>
      </c>
      <c r="B29" s="361"/>
      <c r="C29" s="361"/>
      <c r="D29" s="361"/>
      <c r="E29" s="361"/>
      <c r="F29" s="361"/>
      <c r="G29" s="361"/>
      <c r="H29" s="361"/>
      <c r="I29" s="361"/>
      <c r="J29" s="361"/>
      <c r="K29" s="361"/>
      <c r="L29" s="361"/>
      <c r="M29" s="361"/>
      <c r="N29" s="361"/>
      <c r="O29" s="361"/>
      <c r="P29" s="361"/>
      <c r="Q29" s="361"/>
      <c r="R29" s="361"/>
      <c r="S29" s="361"/>
      <c r="T29" s="361"/>
    </row>
    <row r="30" spans="1:20" ht="53.25" thickBot="1">
      <c r="A30" s="507" t="s">
        <v>459</v>
      </c>
      <c r="B30" s="509" t="s">
        <v>488</v>
      </c>
      <c r="C30" s="396" t="s">
        <v>489</v>
      </c>
      <c r="D30" s="397" t="s">
        <v>490</v>
      </c>
      <c r="E30" s="397" t="s">
        <v>491</v>
      </c>
      <c r="F30" s="397" t="s">
        <v>492</v>
      </c>
      <c r="G30" s="397" t="s">
        <v>493</v>
      </c>
      <c r="H30" s="397" t="s">
        <v>494</v>
      </c>
      <c r="I30" s="397" t="s">
        <v>495</v>
      </c>
      <c r="J30" s="397" t="s">
        <v>496</v>
      </c>
      <c r="K30" s="397" t="s">
        <v>497</v>
      </c>
      <c r="L30" s="397" t="s">
        <v>498</v>
      </c>
      <c r="M30" s="397" t="s">
        <v>499</v>
      </c>
      <c r="N30" s="397" t="s">
        <v>500</v>
      </c>
      <c r="O30" s="397" t="s">
        <v>501</v>
      </c>
      <c r="P30" s="397" t="s">
        <v>502</v>
      </c>
      <c r="Q30" s="397" t="s">
        <v>503</v>
      </c>
      <c r="R30" s="511" t="s">
        <v>504</v>
      </c>
      <c r="S30" s="361"/>
      <c r="T30" s="361"/>
    </row>
    <row r="31" spans="1:20" ht="38.25" thickBot="1">
      <c r="A31" s="508"/>
      <c r="B31" s="510"/>
      <c r="C31" s="398" t="s">
        <v>505</v>
      </c>
      <c r="D31" s="399" t="s">
        <v>506</v>
      </c>
      <c r="E31" s="399" t="s">
        <v>507</v>
      </c>
      <c r="F31" s="399" t="s">
        <v>508</v>
      </c>
      <c r="G31" s="399" t="s">
        <v>509</v>
      </c>
      <c r="H31" s="399" t="s">
        <v>510</v>
      </c>
      <c r="I31" s="399" t="s">
        <v>511</v>
      </c>
      <c r="J31" s="399" t="s">
        <v>512</v>
      </c>
      <c r="K31" s="399" t="s">
        <v>513</v>
      </c>
      <c r="L31" s="399" t="s">
        <v>514</v>
      </c>
      <c r="M31" s="399" t="s">
        <v>515</v>
      </c>
      <c r="N31" s="399" t="s">
        <v>516</v>
      </c>
      <c r="O31" s="399" t="s">
        <v>517</v>
      </c>
      <c r="P31" s="399" t="s">
        <v>518</v>
      </c>
      <c r="Q31" s="400" t="s">
        <v>519</v>
      </c>
      <c r="R31" s="512"/>
      <c r="S31" s="361"/>
      <c r="T31" s="361"/>
    </row>
    <row r="32" spans="1:20" ht="15" customHeight="1">
      <c r="A32" s="513" t="s">
        <v>528</v>
      </c>
      <c r="B32" s="375" t="str">
        <f>B17</f>
        <v>Mass</v>
      </c>
      <c r="C32" s="401">
        <v>3</v>
      </c>
      <c r="D32" s="402">
        <v>3</v>
      </c>
      <c r="E32" s="402">
        <v>3</v>
      </c>
      <c r="F32" s="402"/>
      <c r="G32" s="402"/>
      <c r="H32" s="402"/>
      <c r="I32" s="402"/>
      <c r="J32" s="402"/>
      <c r="K32" s="402"/>
      <c r="L32" s="402"/>
      <c r="M32" s="402"/>
      <c r="N32" s="402"/>
      <c r="O32" s="402"/>
      <c r="P32" s="402"/>
      <c r="Q32" s="403"/>
      <c r="R32" s="381">
        <f>IF(B17="",0,P17)</f>
        <v>0.46666666666666667</v>
      </c>
      <c r="S32" s="361"/>
      <c r="T32" s="361"/>
    </row>
    <row r="33" spans="1:28">
      <c r="A33" s="514"/>
      <c r="B33" s="375" t="str">
        <f t="shared" ref="B33:B41" si="10">B18</f>
        <v>Cost</v>
      </c>
      <c r="C33" s="404">
        <v>5</v>
      </c>
      <c r="D33" s="405">
        <v>7</v>
      </c>
      <c r="E33" s="405">
        <v>4</v>
      </c>
      <c r="F33" s="405"/>
      <c r="G33" s="405"/>
      <c r="H33" s="405"/>
      <c r="I33" s="405"/>
      <c r="J33" s="405"/>
      <c r="K33" s="405"/>
      <c r="L33" s="405"/>
      <c r="M33" s="405"/>
      <c r="N33" s="405"/>
      <c r="O33" s="405"/>
      <c r="P33" s="405"/>
      <c r="Q33" s="406"/>
      <c r="R33" s="388">
        <f t="shared" ref="R33:R41" si="11">IF(B18="",0,P18)</f>
        <v>0.33333333333333331</v>
      </c>
      <c r="S33" s="361"/>
      <c r="T33" s="361"/>
    </row>
    <row r="34" spans="1:28">
      <c r="A34" s="514"/>
      <c r="B34" s="375" t="str">
        <f t="shared" si="10"/>
        <v>Power</v>
      </c>
      <c r="C34" s="404">
        <v>8</v>
      </c>
      <c r="D34" s="405">
        <v>5</v>
      </c>
      <c r="E34" s="405">
        <v>2</v>
      </c>
      <c r="F34" s="405"/>
      <c r="G34" s="405"/>
      <c r="H34" s="405"/>
      <c r="I34" s="405"/>
      <c r="J34" s="405"/>
      <c r="K34" s="405"/>
      <c r="L34" s="405"/>
      <c r="M34" s="405"/>
      <c r="N34" s="405"/>
      <c r="O34" s="405"/>
      <c r="P34" s="405"/>
      <c r="Q34" s="406"/>
      <c r="R34" s="388">
        <f t="shared" si="11"/>
        <v>6.6666666666666666E-2</v>
      </c>
      <c r="S34" s="361"/>
      <c r="T34" s="361"/>
    </row>
    <row r="35" spans="1:28">
      <c r="A35" s="514"/>
      <c r="B35" s="375" t="str">
        <f t="shared" si="10"/>
        <v>Equilibrium temperature</v>
      </c>
      <c r="C35" s="404">
        <v>4</v>
      </c>
      <c r="D35" s="405">
        <v>3</v>
      </c>
      <c r="E35" s="405">
        <v>1</v>
      </c>
      <c r="F35" s="405"/>
      <c r="G35" s="405"/>
      <c r="H35" s="405"/>
      <c r="I35" s="405"/>
      <c r="J35" s="405"/>
      <c r="K35" s="405"/>
      <c r="L35" s="405"/>
      <c r="M35" s="405"/>
      <c r="N35" s="405"/>
      <c r="O35" s="405"/>
      <c r="P35" s="405"/>
      <c r="Q35" s="406"/>
      <c r="R35" s="388">
        <f t="shared" si="11"/>
        <v>6.6666666666666666E-2</v>
      </c>
      <c r="S35" s="361"/>
      <c r="T35" s="361"/>
    </row>
    <row r="36" spans="1:28">
      <c r="A36" s="514"/>
      <c r="B36" s="375" t="str">
        <f t="shared" si="10"/>
        <v>E</v>
      </c>
      <c r="C36" s="404"/>
      <c r="D36" s="405"/>
      <c r="E36" s="405"/>
      <c r="F36" s="405"/>
      <c r="G36" s="405"/>
      <c r="H36" s="405"/>
      <c r="I36" s="405"/>
      <c r="J36" s="405"/>
      <c r="K36" s="405"/>
      <c r="L36" s="405"/>
      <c r="M36" s="405"/>
      <c r="N36" s="405"/>
      <c r="O36" s="405"/>
      <c r="P36" s="405"/>
      <c r="Q36" s="406"/>
      <c r="R36" s="388">
        <f t="shared" si="11"/>
        <v>6.6666666666666666E-2</v>
      </c>
      <c r="S36" s="361"/>
      <c r="T36" s="361"/>
    </row>
    <row r="37" spans="1:28">
      <c r="A37" s="514"/>
      <c r="B37" s="375" t="str">
        <f t="shared" si="10"/>
        <v/>
      </c>
      <c r="C37" s="404"/>
      <c r="D37" s="405"/>
      <c r="E37" s="405"/>
      <c r="F37" s="405"/>
      <c r="G37" s="405"/>
      <c r="H37" s="405"/>
      <c r="I37" s="405"/>
      <c r="J37" s="405"/>
      <c r="K37" s="405"/>
      <c r="L37" s="405"/>
      <c r="M37" s="405"/>
      <c r="N37" s="405"/>
      <c r="O37" s="405"/>
      <c r="P37" s="405"/>
      <c r="Q37" s="406"/>
      <c r="R37" s="388">
        <f t="shared" si="11"/>
        <v>0</v>
      </c>
      <c r="S37" s="361"/>
      <c r="T37" s="361"/>
    </row>
    <row r="38" spans="1:28">
      <c r="A38" s="514"/>
      <c r="B38" s="375" t="str">
        <f t="shared" si="10"/>
        <v/>
      </c>
      <c r="C38" s="404"/>
      <c r="D38" s="405"/>
      <c r="E38" s="405"/>
      <c r="F38" s="408"/>
      <c r="G38" s="405"/>
      <c r="H38" s="405"/>
      <c r="I38" s="405"/>
      <c r="J38" s="405"/>
      <c r="K38" s="405"/>
      <c r="L38" s="405"/>
      <c r="M38" s="405"/>
      <c r="N38" s="405"/>
      <c r="O38" s="405"/>
      <c r="P38" s="405"/>
      <c r="Q38" s="406"/>
      <c r="R38" s="388">
        <f t="shared" si="11"/>
        <v>0</v>
      </c>
      <c r="S38" s="361"/>
      <c r="T38" s="361"/>
    </row>
    <row r="39" spans="1:28">
      <c r="A39" s="514"/>
      <c r="B39" s="375" t="str">
        <f t="shared" si="10"/>
        <v/>
      </c>
      <c r="C39" s="404"/>
      <c r="D39" s="405"/>
      <c r="E39" s="405"/>
      <c r="F39" s="405"/>
      <c r="G39" s="405"/>
      <c r="H39" s="405"/>
      <c r="I39" s="405"/>
      <c r="J39" s="405"/>
      <c r="K39" s="405"/>
      <c r="L39" s="405"/>
      <c r="M39" s="405"/>
      <c r="N39" s="405"/>
      <c r="O39" s="405"/>
      <c r="P39" s="405"/>
      <c r="Q39" s="406"/>
      <c r="R39" s="388">
        <f t="shared" si="11"/>
        <v>0</v>
      </c>
      <c r="S39" s="361"/>
      <c r="T39" s="361"/>
    </row>
    <row r="40" spans="1:28">
      <c r="A40" s="514"/>
      <c r="B40" s="375" t="str">
        <f t="shared" si="10"/>
        <v/>
      </c>
      <c r="C40" s="404"/>
      <c r="D40" s="405"/>
      <c r="E40" s="405"/>
      <c r="F40" s="405"/>
      <c r="G40" s="405"/>
      <c r="H40" s="405"/>
      <c r="I40" s="405"/>
      <c r="J40" s="405"/>
      <c r="K40" s="405"/>
      <c r="L40" s="405"/>
      <c r="M40" s="405"/>
      <c r="N40" s="405"/>
      <c r="O40" s="405"/>
      <c r="P40" s="405"/>
      <c r="Q40" s="406"/>
      <c r="R40" s="388">
        <f t="shared" si="11"/>
        <v>0</v>
      </c>
      <c r="S40" s="361"/>
      <c r="T40" s="361"/>
    </row>
    <row r="41" spans="1:28" ht="15.75" thickBot="1">
      <c r="A41" s="515"/>
      <c r="B41" s="375" t="str">
        <f t="shared" si="10"/>
        <v/>
      </c>
      <c r="C41" s="409"/>
      <c r="D41" s="410"/>
      <c r="E41" s="410"/>
      <c r="F41" s="410"/>
      <c r="G41" s="410"/>
      <c r="H41" s="410"/>
      <c r="I41" s="410"/>
      <c r="J41" s="410"/>
      <c r="K41" s="410"/>
      <c r="L41" s="410"/>
      <c r="M41" s="410"/>
      <c r="N41" s="410"/>
      <c r="O41" s="410"/>
      <c r="P41" s="410"/>
      <c r="Q41" s="411"/>
      <c r="R41" s="395">
        <f t="shared" si="11"/>
        <v>0</v>
      </c>
      <c r="S41" s="361"/>
      <c r="T41" s="361"/>
    </row>
    <row r="42" spans="1:28" ht="15.75" thickBot="1">
      <c r="A42" s="375"/>
      <c r="B42" s="412" t="s">
        <v>484</v>
      </c>
      <c r="C42" s="413">
        <f>C32*$R32+C33*$R33+C34*$R34+C35*$R35+C36*$R36+C37*$R37+C38*$R38+C39*$R39+C40*$R40+C41*$R41</f>
        <v>3.8666666666666663</v>
      </c>
      <c r="D42" s="414">
        <f t="shared" ref="D42:Q42" si="12">D32*$R32+D33*$R33+D34*$R34+D35*$R35+D36*$R36+D37*$R37+D38*$R38+D39*$R39+D40*$R40+D41*$R41</f>
        <v>4.2666666666666666</v>
      </c>
      <c r="E42" s="414">
        <f t="shared" si="12"/>
        <v>2.9333333333333336</v>
      </c>
      <c r="F42" s="414">
        <f t="shared" si="12"/>
        <v>0</v>
      </c>
      <c r="G42" s="414">
        <f t="shared" si="12"/>
        <v>0</v>
      </c>
      <c r="H42" s="414">
        <f t="shared" si="12"/>
        <v>0</v>
      </c>
      <c r="I42" s="414">
        <f t="shared" si="12"/>
        <v>0</v>
      </c>
      <c r="J42" s="414">
        <f t="shared" si="12"/>
        <v>0</v>
      </c>
      <c r="K42" s="414">
        <f t="shared" si="12"/>
        <v>0</v>
      </c>
      <c r="L42" s="414">
        <f t="shared" si="12"/>
        <v>0</v>
      </c>
      <c r="M42" s="414">
        <f t="shared" si="12"/>
        <v>0</v>
      </c>
      <c r="N42" s="414">
        <f t="shared" si="12"/>
        <v>0</v>
      </c>
      <c r="O42" s="414">
        <f t="shared" si="12"/>
        <v>0</v>
      </c>
      <c r="P42" s="414">
        <f t="shared" si="12"/>
        <v>0</v>
      </c>
      <c r="Q42" s="415">
        <f t="shared" si="12"/>
        <v>0</v>
      </c>
      <c r="R42" s="416"/>
      <c r="S42" s="361"/>
      <c r="T42" s="361"/>
    </row>
    <row r="43" spans="1:28" ht="15.75" thickBot="1">
      <c r="A43" s="389"/>
      <c r="B43" s="417" t="s">
        <v>520</v>
      </c>
      <c r="C43" s="418">
        <f>RANK(C42,$C42:$Q42)</f>
        <v>2</v>
      </c>
      <c r="D43" s="419">
        <f t="shared" ref="D43:Q43" si="13">RANK(D42,$C42:$Q42)</f>
        <v>1</v>
      </c>
      <c r="E43" s="419">
        <f t="shared" si="13"/>
        <v>3</v>
      </c>
      <c r="F43" s="419">
        <f t="shared" si="13"/>
        <v>4</v>
      </c>
      <c r="G43" s="419">
        <f t="shared" si="13"/>
        <v>4</v>
      </c>
      <c r="H43" s="419">
        <f t="shared" si="13"/>
        <v>4</v>
      </c>
      <c r="I43" s="419">
        <f t="shared" si="13"/>
        <v>4</v>
      </c>
      <c r="J43" s="419">
        <f t="shared" si="13"/>
        <v>4</v>
      </c>
      <c r="K43" s="419">
        <f t="shared" si="13"/>
        <v>4</v>
      </c>
      <c r="L43" s="419">
        <f t="shared" si="13"/>
        <v>4</v>
      </c>
      <c r="M43" s="419">
        <f t="shared" si="13"/>
        <v>4</v>
      </c>
      <c r="N43" s="419">
        <f t="shared" si="13"/>
        <v>4</v>
      </c>
      <c r="O43" s="419">
        <f t="shared" si="13"/>
        <v>4</v>
      </c>
      <c r="P43" s="419">
        <f t="shared" si="13"/>
        <v>4</v>
      </c>
      <c r="Q43" s="420">
        <f t="shared" si="13"/>
        <v>4</v>
      </c>
      <c r="R43" s="421"/>
      <c r="S43" s="361"/>
      <c r="T43" s="361"/>
    </row>
    <row r="44" spans="1:28">
      <c r="A44" s="361"/>
      <c r="B44" s="361"/>
      <c r="C44" s="361"/>
      <c r="D44" s="361"/>
      <c r="E44" s="361"/>
      <c r="F44" s="361"/>
      <c r="G44" s="361"/>
      <c r="H44" s="361"/>
      <c r="I44" s="361"/>
      <c r="J44" s="361"/>
      <c r="K44" s="361"/>
      <c r="L44" s="361"/>
      <c r="M44" s="361"/>
      <c r="N44" s="361"/>
      <c r="O44" s="361"/>
      <c r="P44" s="361"/>
      <c r="Q44" s="361"/>
      <c r="R44" s="361"/>
      <c r="S44" s="361"/>
      <c r="T44" s="361"/>
    </row>
    <row r="45" spans="1:28" ht="15.75" thickBot="1">
      <c r="A45" s="361"/>
      <c r="B45" s="361"/>
      <c r="C45" s="361"/>
      <c r="D45" s="361"/>
      <c r="E45" s="361"/>
      <c r="F45" s="361"/>
      <c r="G45" s="361"/>
      <c r="H45" s="361"/>
      <c r="I45" s="361"/>
      <c r="J45" s="361"/>
      <c r="K45" s="361"/>
      <c r="L45" s="361"/>
      <c r="M45" s="361"/>
      <c r="N45" s="361"/>
      <c r="O45" s="361"/>
      <c r="P45" s="361"/>
      <c r="Q45" s="361"/>
      <c r="R45" s="361"/>
      <c r="S45" s="361"/>
      <c r="T45" s="361"/>
    </row>
    <row r="46" spans="1:28">
      <c r="A46" s="361"/>
      <c r="B46" s="361"/>
      <c r="C46" s="361"/>
      <c r="D46" s="361"/>
      <c r="E46" s="361"/>
      <c r="F46" s="361"/>
      <c r="G46" s="361"/>
      <c r="H46" s="361"/>
      <c r="I46" s="361"/>
      <c r="J46" s="361"/>
      <c r="K46" s="361"/>
      <c r="L46" s="361"/>
      <c r="M46" s="361"/>
      <c r="N46" s="361"/>
      <c r="O46" s="361"/>
      <c r="P46" s="361"/>
      <c r="Q46" s="361"/>
      <c r="R46" s="361"/>
      <c r="S46" s="361"/>
      <c r="T46" s="422" t="s">
        <v>529</v>
      </c>
      <c r="U46" s="423"/>
      <c r="V46" s="423"/>
      <c r="W46" s="423"/>
      <c r="X46" s="423"/>
      <c r="Y46" s="423"/>
      <c r="Z46" s="423"/>
      <c r="AA46" s="423"/>
      <c r="AB46" s="424"/>
    </row>
    <row r="47" spans="1:28">
      <c r="A47" s="361"/>
      <c r="B47" s="361"/>
      <c r="C47" s="361"/>
      <c r="D47" s="361"/>
      <c r="E47" s="361"/>
      <c r="F47" s="361"/>
      <c r="G47" s="361"/>
      <c r="H47" s="361"/>
      <c r="I47" s="361"/>
      <c r="J47" s="361"/>
      <c r="K47" s="361"/>
      <c r="L47" s="361"/>
      <c r="M47" s="361"/>
      <c r="N47" s="361"/>
      <c r="O47" s="361"/>
      <c r="P47" s="361"/>
      <c r="Q47" s="361"/>
      <c r="R47" s="361"/>
      <c r="S47" s="361"/>
      <c r="T47" s="425" t="s">
        <v>530</v>
      </c>
      <c r="AB47" s="426"/>
    </row>
    <row r="48" spans="1:28">
      <c r="A48" s="361"/>
      <c r="B48" s="361"/>
      <c r="C48" s="361"/>
      <c r="D48" s="361"/>
      <c r="E48" s="361"/>
      <c r="F48" s="361"/>
      <c r="G48" s="361"/>
      <c r="H48" s="361"/>
      <c r="I48" s="361"/>
      <c r="J48" s="361"/>
      <c r="K48" s="361"/>
      <c r="L48" s="361"/>
      <c r="M48" s="361"/>
      <c r="N48" s="361"/>
      <c r="O48" s="361"/>
      <c r="P48" s="361"/>
      <c r="Q48" s="361"/>
      <c r="R48" s="361"/>
      <c r="S48" s="361"/>
      <c r="T48" s="425" t="s">
        <v>531</v>
      </c>
      <c r="AB48" s="426"/>
    </row>
    <row r="49" spans="1:28">
      <c r="A49" s="361"/>
      <c r="B49" s="361"/>
      <c r="C49" s="361"/>
      <c r="D49" s="361"/>
      <c r="E49" s="361"/>
      <c r="F49" s="361"/>
      <c r="G49" s="361"/>
      <c r="H49" s="361"/>
      <c r="I49" s="361"/>
      <c r="J49" s="361"/>
      <c r="K49" s="361"/>
      <c r="L49" s="361"/>
      <c r="M49" s="361"/>
      <c r="N49" s="361"/>
      <c r="O49" s="361"/>
      <c r="P49" s="361"/>
      <c r="Q49" s="361"/>
      <c r="R49" s="361"/>
      <c r="S49" s="361"/>
      <c r="T49" s="425" t="s">
        <v>532</v>
      </c>
      <c r="AB49" s="426"/>
    </row>
    <row r="50" spans="1:28">
      <c r="A50" s="361"/>
      <c r="B50" s="361"/>
      <c r="C50" s="361"/>
      <c r="D50" s="361"/>
      <c r="E50" s="361"/>
      <c r="F50" s="361"/>
      <c r="G50" s="361"/>
      <c r="H50" s="361"/>
      <c r="I50" s="361"/>
      <c r="J50" s="361"/>
      <c r="K50" s="361"/>
      <c r="L50" s="361"/>
      <c r="M50" s="361"/>
      <c r="N50" s="361"/>
      <c r="O50" s="361"/>
      <c r="P50" s="361"/>
      <c r="Q50" s="361"/>
      <c r="R50" s="361"/>
      <c r="S50" s="361"/>
      <c r="T50" s="425" t="s">
        <v>533</v>
      </c>
      <c r="AB50" s="426"/>
    </row>
    <row r="51" spans="1:28">
      <c r="A51" s="361"/>
      <c r="B51" s="361"/>
      <c r="C51" s="361"/>
      <c r="D51" s="361"/>
      <c r="E51" s="361"/>
      <c r="F51" s="361"/>
      <c r="G51" s="361"/>
      <c r="H51" s="361"/>
      <c r="I51" s="361"/>
      <c r="J51" s="361"/>
      <c r="K51" s="361"/>
      <c r="L51" s="361"/>
      <c r="M51" s="361"/>
      <c r="N51" s="361"/>
      <c r="O51" s="361"/>
      <c r="P51" s="361"/>
      <c r="Q51" s="361"/>
      <c r="R51" s="361"/>
      <c r="S51" s="361"/>
      <c r="T51" s="425" t="s">
        <v>534</v>
      </c>
      <c r="AB51" s="426"/>
    </row>
    <row r="52" spans="1:28" ht="15.75" thickBot="1">
      <c r="A52" s="361"/>
      <c r="B52" s="361"/>
      <c r="C52" s="361"/>
      <c r="D52" s="361"/>
      <c r="E52" s="361"/>
      <c r="F52" s="361"/>
      <c r="G52" s="361"/>
      <c r="H52" s="361"/>
      <c r="I52" s="361"/>
      <c r="J52" s="361"/>
      <c r="K52" s="361"/>
      <c r="L52" s="361"/>
      <c r="M52" s="361"/>
      <c r="N52" s="361"/>
      <c r="O52" s="361"/>
      <c r="P52" s="361"/>
      <c r="Q52" s="361"/>
      <c r="R52" s="361"/>
      <c r="S52" s="361"/>
      <c r="T52" s="427" t="s">
        <v>535</v>
      </c>
      <c r="U52" s="428"/>
      <c r="V52" s="428"/>
      <c r="W52" s="428"/>
      <c r="X52" s="428"/>
      <c r="Y52" s="428"/>
      <c r="Z52" s="428"/>
      <c r="AA52" s="428"/>
      <c r="AB52" s="429"/>
    </row>
    <row r="53" spans="1:28">
      <c r="A53" s="361"/>
      <c r="B53" s="361"/>
      <c r="C53" s="361"/>
      <c r="D53" s="361"/>
      <c r="E53" s="361"/>
      <c r="F53" s="361"/>
      <c r="G53" s="361"/>
      <c r="H53" s="361"/>
      <c r="I53" s="361"/>
      <c r="J53" s="361"/>
      <c r="K53" s="361"/>
      <c r="L53" s="361"/>
      <c r="M53" s="361"/>
      <c r="N53" s="361"/>
      <c r="O53" s="361"/>
      <c r="P53" s="361"/>
      <c r="Q53" s="361"/>
      <c r="R53" s="361"/>
      <c r="S53" s="361"/>
      <c r="T53" s="361"/>
    </row>
    <row r="54" spans="1:28">
      <c r="A54" s="361"/>
      <c r="B54" s="361"/>
      <c r="C54" s="361"/>
      <c r="D54" s="361"/>
      <c r="E54" s="361"/>
      <c r="F54" s="361"/>
      <c r="G54" s="361"/>
      <c r="H54" s="361"/>
      <c r="I54" s="361"/>
      <c r="J54" s="361"/>
      <c r="K54" s="361"/>
      <c r="L54" s="361"/>
      <c r="M54" s="361"/>
      <c r="N54" s="361"/>
      <c r="O54" s="361"/>
      <c r="P54" s="361"/>
      <c r="Q54" s="361"/>
      <c r="R54" s="361"/>
      <c r="S54" s="361"/>
      <c r="T54" s="361"/>
    </row>
    <row r="55" spans="1:28">
      <c r="A55" s="361"/>
      <c r="B55" s="361"/>
      <c r="C55" s="361"/>
      <c r="D55" s="361"/>
      <c r="E55" s="361"/>
      <c r="F55" s="361"/>
      <c r="G55" s="361"/>
      <c r="H55" s="361"/>
      <c r="I55" s="361"/>
      <c r="J55" s="361"/>
      <c r="K55" s="361"/>
      <c r="L55" s="361"/>
      <c r="M55" s="361"/>
      <c r="N55" s="361"/>
      <c r="O55" s="361"/>
      <c r="P55" s="361"/>
      <c r="Q55" s="361"/>
      <c r="R55" s="361"/>
      <c r="S55" s="361"/>
      <c r="T55" s="361"/>
    </row>
    <row r="56" spans="1:28">
      <c r="A56" s="361"/>
      <c r="B56" s="361"/>
      <c r="C56" s="361"/>
      <c r="D56" s="361"/>
      <c r="E56" s="361"/>
      <c r="F56" s="361"/>
      <c r="G56" s="361"/>
      <c r="H56" s="361"/>
      <c r="I56" s="361"/>
      <c r="J56" s="361"/>
      <c r="K56" s="361"/>
      <c r="L56" s="361"/>
      <c r="M56" s="361"/>
      <c r="N56" s="361"/>
      <c r="O56" s="361"/>
      <c r="P56" s="361"/>
      <c r="Q56" s="361"/>
      <c r="R56" s="361"/>
      <c r="S56" s="361"/>
      <c r="T56" s="361"/>
    </row>
    <row r="57" spans="1:28">
      <c r="A57" s="361"/>
      <c r="B57" s="361"/>
      <c r="C57" s="361"/>
      <c r="D57" s="361"/>
      <c r="E57" s="361"/>
      <c r="F57" s="361"/>
      <c r="G57" s="361"/>
      <c r="H57" s="361"/>
      <c r="I57" s="361"/>
      <c r="J57" s="361"/>
      <c r="K57" s="361"/>
      <c r="L57" s="361"/>
      <c r="M57" s="361"/>
      <c r="N57" s="361"/>
      <c r="O57" s="361"/>
      <c r="P57" s="361"/>
      <c r="Q57" s="361"/>
      <c r="R57" s="361"/>
      <c r="S57" s="361"/>
      <c r="T57" s="361"/>
    </row>
    <row r="58" spans="1:28">
      <c r="A58" s="361"/>
      <c r="B58" s="361"/>
      <c r="C58" s="361"/>
      <c r="D58" s="361"/>
      <c r="E58" s="361"/>
      <c r="F58" s="361"/>
      <c r="G58" s="361"/>
      <c r="H58" s="361"/>
      <c r="I58" s="361"/>
      <c r="J58" s="361"/>
      <c r="K58" s="361"/>
      <c r="L58" s="361"/>
      <c r="M58" s="361"/>
      <c r="N58" s="361"/>
      <c r="O58" s="361"/>
      <c r="P58" s="361"/>
      <c r="Q58" s="361"/>
      <c r="R58" s="361"/>
      <c r="S58" s="361"/>
      <c r="T58" s="361"/>
    </row>
    <row r="59" spans="1:28">
      <c r="A59" s="361"/>
      <c r="B59" s="361"/>
      <c r="C59" s="361"/>
      <c r="D59" s="361"/>
      <c r="E59" s="361"/>
      <c r="F59" s="361"/>
      <c r="G59" s="361"/>
      <c r="H59" s="361"/>
      <c r="I59" s="361"/>
      <c r="J59" s="361"/>
      <c r="K59" s="361"/>
      <c r="L59" s="361"/>
      <c r="M59" s="361"/>
      <c r="N59" s="361"/>
      <c r="O59" s="361"/>
      <c r="P59" s="361"/>
      <c r="Q59" s="361"/>
      <c r="R59" s="361"/>
      <c r="S59" s="361"/>
      <c r="T59" s="361"/>
    </row>
    <row r="60" spans="1:28">
      <c r="A60" s="361"/>
      <c r="B60" s="361"/>
      <c r="C60" s="361"/>
      <c r="D60" s="361"/>
      <c r="E60" s="361"/>
      <c r="F60" s="361"/>
      <c r="G60" s="361"/>
      <c r="H60" s="361"/>
      <c r="I60" s="361"/>
      <c r="J60" s="361"/>
      <c r="K60" s="361"/>
      <c r="L60" s="361"/>
      <c r="M60" s="361"/>
      <c r="N60" s="361"/>
      <c r="O60" s="361"/>
      <c r="P60" s="361"/>
      <c r="Q60" s="361"/>
      <c r="R60" s="361"/>
      <c r="S60" s="361"/>
      <c r="T60" s="361"/>
    </row>
    <row r="61" spans="1:28">
      <c r="A61" s="361"/>
      <c r="B61" s="361"/>
      <c r="C61" s="361"/>
      <c r="D61" s="361"/>
      <c r="E61" s="361"/>
      <c r="F61" s="361"/>
      <c r="G61" s="361"/>
      <c r="H61" s="361"/>
      <c r="I61" s="361"/>
      <c r="J61" s="361"/>
      <c r="K61" s="361"/>
      <c r="L61" s="361"/>
      <c r="M61" s="361"/>
      <c r="N61" s="361"/>
      <c r="O61" s="361"/>
      <c r="P61" s="361"/>
      <c r="Q61" s="361"/>
      <c r="R61" s="361"/>
      <c r="S61" s="361"/>
      <c r="T61" s="361"/>
    </row>
    <row r="62" spans="1:28">
      <c r="A62" s="361"/>
      <c r="B62" s="361"/>
      <c r="C62" s="361"/>
      <c r="D62" s="361"/>
      <c r="E62" s="361"/>
      <c r="F62" s="361"/>
      <c r="G62" s="361"/>
      <c r="H62" s="361"/>
      <c r="I62" s="361"/>
      <c r="J62" s="361"/>
      <c r="K62" s="361"/>
      <c r="L62" s="361"/>
      <c r="M62" s="361"/>
      <c r="N62" s="361"/>
      <c r="O62" s="361"/>
      <c r="P62" s="361"/>
      <c r="Q62" s="361"/>
      <c r="R62" s="361"/>
      <c r="S62" s="361"/>
      <c r="T62" s="361"/>
    </row>
    <row r="63" spans="1:28">
      <c r="A63" s="361"/>
      <c r="B63" s="361"/>
      <c r="C63" s="361"/>
      <c r="D63" s="361"/>
      <c r="E63" s="361"/>
      <c r="F63" s="361"/>
      <c r="G63" s="361"/>
      <c r="H63" s="361"/>
      <c r="I63" s="361"/>
      <c r="J63" s="361"/>
      <c r="K63" s="361"/>
      <c r="L63" s="361"/>
      <c r="M63" s="361"/>
      <c r="N63" s="361"/>
      <c r="O63" s="361"/>
      <c r="P63" s="361"/>
      <c r="Q63" s="361"/>
      <c r="R63" s="361"/>
      <c r="S63" s="361"/>
      <c r="T63" s="361"/>
    </row>
    <row r="64" spans="1:28">
      <c r="A64" s="361"/>
      <c r="B64" s="361"/>
      <c r="C64" s="361"/>
      <c r="D64" s="361"/>
      <c r="E64" s="361"/>
      <c r="F64" s="361"/>
      <c r="G64" s="361"/>
      <c r="H64" s="361"/>
      <c r="I64" s="361"/>
      <c r="J64" s="361"/>
      <c r="K64" s="361"/>
      <c r="L64" s="361"/>
      <c r="M64" s="361"/>
      <c r="N64" s="361"/>
      <c r="O64" s="361"/>
      <c r="P64" s="361"/>
      <c r="Q64" s="361"/>
      <c r="R64" s="361"/>
      <c r="S64" s="361"/>
      <c r="T64" s="361"/>
    </row>
    <row r="65" spans="1:20">
      <c r="A65" s="361"/>
      <c r="B65" s="361"/>
      <c r="C65" s="361"/>
      <c r="D65" s="361"/>
      <c r="E65" s="361"/>
      <c r="F65" s="361"/>
      <c r="G65" s="361"/>
      <c r="H65" s="361"/>
      <c r="I65" s="361"/>
      <c r="J65" s="361"/>
      <c r="K65" s="361"/>
      <c r="L65" s="361"/>
      <c r="M65" s="361"/>
      <c r="N65" s="361"/>
      <c r="O65" s="361"/>
      <c r="P65" s="361"/>
      <c r="Q65" s="361"/>
      <c r="R65" s="361"/>
      <c r="S65" s="361"/>
      <c r="T65" s="361"/>
    </row>
    <row r="66" spans="1:20">
      <c r="A66" s="361"/>
      <c r="B66" s="361"/>
      <c r="C66" s="361"/>
      <c r="D66" s="361"/>
      <c r="E66" s="361"/>
      <c r="F66" s="361"/>
      <c r="G66" s="361"/>
      <c r="H66" s="361"/>
      <c r="I66" s="361"/>
      <c r="J66" s="361"/>
      <c r="K66" s="361"/>
      <c r="L66" s="361"/>
      <c r="M66" s="361"/>
      <c r="N66" s="361"/>
      <c r="O66" s="361"/>
      <c r="P66" s="361"/>
      <c r="Q66" s="361"/>
      <c r="R66" s="361"/>
      <c r="S66" s="361"/>
      <c r="T66" s="361"/>
    </row>
    <row r="67" spans="1:20">
      <c r="A67" s="361"/>
      <c r="B67" s="361"/>
      <c r="C67" s="361"/>
      <c r="D67" s="361"/>
      <c r="E67" s="361"/>
      <c r="F67" s="361"/>
      <c r="G67" s="361"/>
      <c r="H67" s="361"/>
      <c r="I67" s="361"/>
      <c r="J67" s="361"/>
      <c r="K67" s="361"/>
      <c r="L67" s="361"/>
      <c r="M67" s="361"/>
      <c r="N67" s="361"/>
      <c r="O67" s="361"/>
      <c r="P67" s="361"/>
      <c r="Q67" s="361"/>
      <c r="R67" s="361"/>
      <c r="S67" s="361"/>
      <c r="T67" s="361"/>
    </row>
    <row r="68" spans="1:20">
      <c r="A68" s="361"/>
      <c r="B68" s="361"/>
      <c r="C68" s="361"/>
      <c r="D68" s="361"/>
      <c r="E68" s="361"/>
      <c r="F68" s="361"/>
      <c r="G68" s="361"/>
      <c r="H68" s="361"/>
      <c r="I68" s="361"/>
      <c r="J68" s="361"/>
      <c r="K68" s="361"/>
      <c r="L68" s="361"/>
      <c r="M68" s="361"/>
      <c r="N68" s="361"/>
      <c r="O68" s="361"/>
      <c r="P68" s="361"/>
      <c r="Q68" s="361"/>
      <c r="R68" s="361"/>
      <c r="S68" s="361"/>
      <c r="T68" s="361"/>
    </row>
    <row r="69" spans="1:20">
      <c r="A69" s="361"/>
      <c r="B69" s="361"/>
      <c r="C69" s="361"/>
      <c r="D69" s="361"/>
      <c r="E69" s="361"/>
      <c r="F69" s="361"/>
      <c r="G69" s="361"/>
      <c r="H69" s="361"/>
      <c r="I69" s="361"/>
      <c r="J69" s="361"/>
      <c r="K69" s="361"/>
      <c r="L69" s="361"/>
      <c r="M69" s="361"/>
      <c r="N69" s="361"/>
      <c r="O69" s="361"/>
      <c r="P69" s="361"/>
      <c r="Q69" s="361"/>
      <c r="R69" s="361"/>
      <c r="S69" s="361"/>
      <c r="T69" s="361"/>
    </row>
    <row r="70" spans="1:20">
      <c r="A70" s="361"/>
      <c r="B70" s="361"/>
      <c r="C70" s="361"/>
      <c r="D70" s="361"/>
      <c r="E70" s="361"/>
      <c r="F70" s="361"/>
      <c r="G70" s="361"/>
      <c r="H70" s="361"/>
      <c r="I70" s="361"/>
      <c r="J70" s="361"/>
      <c r="K70" s="361"/>
      <c r="L70" s="361"/>
      <c r="M70" s="361"/>
      <c r="N70" s="361"/>
      <c r="O70" s="361"/>
      <c r="P70" s="361"/>
      <c r="Q70" s="361"/>
      <c r="R70" s="361"/>
      <c r="S70" s="361"/>
      <c r="T70" s="361"/>
    </row>
    <row r="71" spans="1:20">
      <c r="A71" s="361"/>
      <c r="B71" s="361"/>
      <c r="C71" s="361"/>
      <c r="D71" s="361"/>
      <c r="E71" s="361"/>
      <c r="F71" s="361"/>
      <c r="G71" s="361"/>
      <c r="H71" s="361"/>
      <c r="I71" s="361"/>
      <c r="J71" s="361"/>
      <c r="K71" s="361"/>
      <c r="L71" s="361"/>
      <c r="M71" s="361"/>
      <c r="N71" s="361"/>
      <c r="O71" s="361"/>
      <c r="P71" s="361"/>
      <c r="Q71" s="361"/>
      <c r="R71" s="361"/>
      <c r="S71" s="361"/>
      <c r="T71" s="361"/>
    </row>
    <row r="72" spans="1:20">
      <c r="A72" s="361"/>
      <c r="B72" s="361"/>
      <c r="C72" s="361"/>
      <c r="D72" s="361"/>
      <c r="E72" s="361"/>
      <c r="F72" s="361"/>
      <c r="G72" s="361"/>
      <c r="H72" s="361"/>
      <c r="I72" s="361"/>
      <c r="J72" s="361"/>
      <c r="K72" s="361"/>
      <c r="L72" s="361"/>
      <c r="M72" s="361"/>
      <c r="N72" s="361"/>
      <c r="O72" s="361"/>
      <c r="P72" s="361"/>
      <c r="Q72" s="361"/>
      <c r="R72" s="361"/>
      <c r="S72" s="361"/>
      <c r="T72" s="361"/>
    </row>
    <row r="73" spans="1:20">
      <c r="A73" s="361"/>
      <c r="B73" s="361"/>
      <c r="C73" s="361"/>
      <c r="D73" s="361"/>
      <c r="E73" s="361"/>
      <c r="F73" s="361"/>
      <c r="G73" s="361"/>
      <c r="H73" s="361"/>
      <c r="I73" s="361"/>
      <c r="J73" s="361"/>
      <c r="K73" s="361"/>
      <c r="L73" s="361"/>
      <c r="M73" s="361"/>
      <c r="N73" s="361"/>
      <c r="O73" s="361"/>
      <c r="P73" s="361"/>
      <c r="Q73" s="361"/>
      <c r="R73" s="361"/>
      <c r="S73" s="361"/>
      <c r="T73" s="361"/>
    </row>
    <row r="74" spans="1:20">
      <c r="A74" s="361"/>
      <c r="B74" s="361"/>
      <c r="C74" s="361"/>
      <c r="D74" s="361"/>
      <c r="E74" s="361"/>
      <c r="F74" s="361"/>
      <c r="G74" s="361"/>
      <c r="H74" s="361"/>
      <c r="I74" s="361"/>
      <c r="J74" s="361"/>
      <c r="K74" s="361"/>
      <c r="L74" s="361"/>
      <c r="M74" s="361"/>
      <c r="N74" s="361"/>
      <c r="O74" s="361"/>
      <c r="P74" s="361"/>
      <c r="Q74" s="361"/>
      <c r="R74" s="361"/>
      <c r="S74" s="361"/>
      <c r="T74" s="361"/>
    </row>
    <row r="75" spans="1:20">
      <c r="A75" s="361"/>
      <c r="B75" s="361"/>
      <c r="C75" s="361"/>
      <c r="D75" s="361"/>
      <c r="E75" s="361"/>
      <c r="F75" s="361"/>
      <c r="G75" s="361"/>
      <c r="H75" s="361"/>
      <c r="I75" s="361"/>
      <c r="J75" s="361"/>
      <c r="K75" s="361"/>
      <c r="L75" s="361"/>
      <c r="M75" s="361"/>
      <c r="N75" s="361"/>
      <c r="O75" s="361"/>
      <c r="P75" s="361"/>
      <c r="Q75" s="361"/>
      <c r="R75" s="361"/>
      <c r="S75" s="361"/>
      <c r="T75" s="361"/>
    </row>
    <row r="76" spans="1:20">
      <c r="A76" s="361"/>
      <c r="B76" s="361"/>
      <c r="C76" s="361"/>
      <c r="D76" s="361"/>
      <c r="E76" s="361"/>
      <c r="F76" s="361"/>
      <c r="G76" s="361"/>
      <c r="H76" s="361"/>
      <c r="I76" s="361"/>
      <c r="J76" s="361"/>
      <c r="K76" s="361"/>
      <c r="L76" s="361"/>
      <c r="M76" s="361"/>
      <c r="N76" s="361"/>
      <c r="O76" s="361"/>
      <c r="P76" s="361"/>
      <c r="Q76" s="361"/>
      <c r="R76" s="361"/>
      <c r="S76" s="361"/>
      <c r="T76" s="361"/>
    </row>
    <row r="77" spans="1:20">
      <c r="A77" s="361"/>
      <c r="B77" s="361"/>
      <c r="C77" s="361"/>
      <c r="D77" s="361"/>
      <c r="E77" s="361"/>
      <c r="F77" s="361"/>
      <c r="G77" s="361"/>
      <c r="H77" s="361"/>
      <c r="I77" s="361"/>
      <c r="J77" s="361"/>
      <c r="K77" s="361"/>
      <c r="L77" s="361"/>
      <c r="M77" s="361"/>
      <c r="N77" s="361"/>
      <c r="O77" s="361"/>
      <c r="P77" s="361"/>
      <c r="Q77" s="361"/>
      <c r="R77" s="361"/>
      <c r="S77" s="361"/>
      <c r="T77" s="361"/>
    </row>
    <row r="78" spans="1:20">
      <c r="A78" s="361"/>
      <c r="B78" s="361"/>
      <c r="C78" s="361"/>
      <c r="D78" s="361"/>
      <c r="E78" s="361"/>
      <c r="F78" s="361"/>
      <c r="G78" s="361"/>
      <c r="H78" s="361"/>
      <c r="I78" s="361"/>
      <c r="J78" s="361"/>
      <c r="K78" s="361"/>
      <c r="L78" s="361"/>
      <c r="M78" s="361"/>
      <c r="N78" s="361"/>
      <c r="O78" s="361"/>
      <c r="P78" s="361"/>
      <c r="Q78" s="361"/>
      <c r="R78" s="361"/>
      <c r="S78" s="361"/>
      <c r="T78" s="361"/>
    </row>
    <row r="79" spans="1:20">
      <c r="A79" s="361"/>
      <c r="B79" s="361"/>
      <c r="C79" s="361"/>
      <c r="D79" s="361"/>
      <c r="E79" s="361"/>
      <c r="F79" s="361"/>
      <c r="G79" s="361"/>
      <c r="H79" s="361"/>
      <c r="I79" s="361"/>
      <c r="J79" s="361"/>
      <c r="K79" s="361"/>
      <c r="L79" s="361"/>
      <c r="M79" s="361"/>
      <c r="N79" s="361"/>
      <c r="O79" s="361"/>
      <c r="P79" s="361"/>
      <c r="Q79" s="361"/>
      <c r="R79" s="361"/>
      <c r="S79" s="361"/>
      <c r="T79" s="361"/>
    </row>
    <row r="80" spans="1:20">
      <c r="A80" s="361"/>
      <c r="B80" s="361"/>
      <c r="C80" s="361"/>
      <c r="D80" s="361"/>
      <c r="E80" s="361"/>
      <c r="F80" s="361"/>
      <c r="G80" s="361"/>
      <c r="H80" s="361"/>
      <c r="I80" s="361"/>
      <c r="J80" s="361"/>
      <c r="K80" s="361"/>
      <c r="L80" s="361"/>
      <c r="M80" s="361"/>
      <c r="N80" s="361"/>
      <c r="O80" s="361"/>
      <c r="P80" s="361"/>
      <c r="Q80" s="361"/>
      <c r="R80" s="361"/>
      <c r="S80" s="361"/>
      <c r="T80" s="361"/>
    </row>
    <row r="81" spans="1:20">
      <c r="A81" s="361"/>
      <c r="B81" s="361"/>
      <c r="C81" s="361"/>
      <c r="D81" s="361"/>
      <c r="E81" s="361"/>
      <c r="F81" s="361"/>
      <c r="G81" s="361"/>
      <c r="H81" s="361"/>
      <c r="I81" s="361"/>
      <c r="J81" s="361"/>
      <c r="K81" s="361"/>
      <c r="L81" s="361"/>
      <c r="M81" s="361"/>
      <c r="N81" s="361"/>
      <c r="O81" s="361"/>
      <c r="P81" s="361"/>
      <c r="Q81" s="361"/>
      <c r="R81" s="361"/>
      <c r="S81" s="361"/>
      <c r="T81" s="361"/>
    </row>
    <row r="82" spans="1:20">
      <c r="A82" s="361"/>
      <c r="B82" s="361"/>
      <c r="C82" s="361"/>
      <c r="D82" s="361"/>
      <c r="E82" s="361"/>
      <c r="F82" s="361"/>
      <c r="G82" s="361"/>
      <c r="H82" s="361"/>
      <c r="I82" s="361"/>
      <c r="J82" s="361"/>
      <c r="K82" s="361"/>
      <c r="L82" s="361"/>
      <c r="M82" s="361"/>
      <c r="N82" s="361"/>
      <c r="O82" s="361"/>
      <c r="P82" s="361"/>
      <c r="Q82" s="361"/>
      <c r="R82" s="361"/>
      <c r="S82" s="361"/>
      <c r="T82" s="361"/>
    </row>
    <row r="83" spans="1:20">
      <c r="A83" s="361"/>
      <c r="B83" s="361"/>
      <c r="C83" s="361"/>
      <c r="D83" s="361"/>
      <c r="E83" s="361"/>
      <c r="F83" s="361"/>
      <c r="G83" s="361"/>
      <c r="H83" s="361"/>
      <c r="I83" s="361"/>
      <c r="J83" s="361"/>
      <c r="K83" s="361"/>
      <c r="L83" s="361"/>
      <c r="M83" s="361"/>
      <c r="N83" s="361"/>
      <c r="O83" s="361"/>
      <c r="P83" s="361"/>
      <c r="Q83" s="361"/>
      <c r="R83" s="361"/>
      <c r="S83" s="361"/>
      <c r="T83" s="361"/>
    </row>
    <row r="84" spans="1:20">
      <c r="A84" s="361"/>
      <c r="B84" s="361"/>
      <c r="C84" s="361"/>
      <c r="D84" s="361"/>
      <c r="E84" s="361"/>
      <c r="F84" s="361"/>
      <c r="G84" s="361"/>
      <c r="H84" s="361"/>
      <c r="I84" s="361"/>
      <c r="J84" s="361"/>
      <c r="K84" s="361"/>
      <c r="L84" s="361"/>
      <c r="M84" s="361"/>
      <c r="N84" s="361"/>
      <c r="O84" s="361"/>
      <c r="P84" s="361"/>
      <c r="Q84" s="361"/>
      <c r="R84" s="361"/>
      <c r="S84" s="361"/>
      <c r="T84" s="361"/>
    </row>
    <row r="85" spans="1:20">
      <c r="A85" s="361"/>
      <c r="B85" s="361"/>
      <c r="C85" s="361"/>
      <c r="D85" s="361"/>
      <c r="E85" s="361"/>
      <c r="F85" s="361"/>
      <c r="G85" s="361"/>
      <c r="H85" s="361"/>
      <c r="I85" s="361"/>
      <c r="J85" s="361"/>
      <c r="K85" s="361"/>
      <c r="L85" s="361"/>
      <c r="M85" s="361"/>
      <c r="N85" s="361"/>
      <c r="O85" s="361"/>
      <c r="P85" s="361"/>
      <c r="Q85" s="361"/>
      <c r="R85" s="361"/>
      <c r="S85" s="361"/>
      <c r="T85" s="361"/>
    </row>
    <row r="86" spans="1:20">
      <c r="A86" s="361"/>
      <c r="B86" s="361"/>
      <c r="C86" s="361"/>
      <c r="D86" s="361"/>
      <c r="E86" s="361"/>
      <c r="F86" s="361"/>
      <c r="G86" s="361"/>
      <c r="H86" s="361"/>
      <c r="I86" s="361"/>
      <c r="J86" s="361"/>
      <c r="K86" s="361"/>
      <c r="L86" s="361"/>
      <c r="M86" s="361"/>
      <c r="N86" s="361"/>
      <c r="O86" s="361"/>
      <c r="P86" s="361"/>
      <c r="Q86" s="361"/>
      <c r="R86" s="361"/>
      <c r="S86" s="361"/>
      <c r="T86" s="361"/>
    </row>
    <row r="87" spans="1:20">
      <c r="A87" s="361"/>
      <c r="B87" s="361"/>
      <c r="C87" s="361"/>
      <c r="D87" s="361"/>
      <c r="E87" s="361"/>
      <c r="F87" s="361"/>
      <c r="G87" s="361"/>
      <c r="H87" s="361"/>
      <c r="I87" s="361"/>
      <c r="J87" s="361"/>
      <c r="K87" s="361"/>
      <c r="L87" s="361"/>
      <c r="M87" s="361"/>
      <c r="N87" s="361"/>
      <c r="O87" s="361"/>
      <c r="P87" s="361"/>
      <c r="Q87" s="361"/>
      <c r="R87" s="361"/>
      <c r="S87" s="361"/>
      <c r="T87" s="361"/>
    </row>
    <row r="88" spans="1:20">
      <c r="A88" s="361"/>
      <c r="B88" s="361"/>
      <c r="C88" s="361"/>
      <c r="D88" s="361"/>
      <c r="E88" s="361"/>
      <c r="F88" s="361"/>
      <c r="G88" s="361"/>
      <c r="H88" s="361"/>
      <c r="I88" s="361"/>
      <c r="J88" s="361"/>
      <c r="K88" s="361"/>
      <c r="L88" s="361"/>
      <c r="M88" s="361"/>
      <c r="N88" s="361"/>
      <c r="O88" s="361"/>
      <c r="P88" s="361"/>
      <c r="Q88" s="361"/>
      <c r="R88" s="361"/>
      <c r="S88" s="361"/>
      <c r="T88" s="361"/>
    </row>
    <row r="89" spans="1:20">
      <c r="A89" s="361"/>
      <c r="B89" s="361"/>
      <c r="C89" s="361"/>
      <c r="D89" s="361"/>
      <c r="E89" s="361"/>
      <c r="F89" s="361"/>
      <c r="G89" s="361"/>
      <c r="H89" s="361"/>
      <c r="I89" s="361"/>
      <c r="J89" s="361"/>
      <c r="K89" s="361"/>
      <c r="L89" s="361"/>
      <c r="M89" s="361"/>
      <c r="N89" s="361"/>
      <c r="O89" s="361"/>
      <c r="P89" s="361"/>
      <c r="Q89" s="361"/>
      <c r="R89" s="361"/>
      <c r="S89" s="361"/>
      <c r="T89" s="361"/>
    </row>
  </sheetData>
  <mergeCells count="4">
    <mergeCell ref="A30:A31"/>
    <mergeCell ref="B30:B31"/>
    <mergeCell ref="R30:R31"/>
    <mergeCell ref="A32:A41"/>
  </mergeCells>
  <dataValidations count="1">
    <dataValidation type="list" allowBlank="1" showInputMessage="1" showErrorMessage="1" sqref="C12 E12 G12 I12 K12 M12 O12 Q12 S12">
      <formula1>$R$2:$R$3</formula1>
    </dataValidation>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7"/>
  <dimension ref="A1:AR175"/>
  <sheetViews>
    <sheetView zoomScale="40" zoomScaleNormal="40" workbookViewId="0">
      <selection activeCell="E1" sqref="E1:M1"/>
    </sheetView>
  </sheetViews>
  <sheetFormatPr defaultColWidth="9.33203125" defaultRowHeight="14.25"/>
  <cols>
    <col min="1" max="1" width="51.83203125" style="188" bestFit="1" customWidth="1"/>
    <col min="2" max="2" width="12.1640625" style="188" bestFit="1" customWidth="1"/>
    <col min="3" max="3" width="12.33203125" style="210" bestFit="1" customWidth="1"/>
    <col min="4" max="4" width="5.83203125" style="188" customWidth="1"/>
    <col min="5" max="5" width="67.6640625" style="188" bestFit="1" customWidth="1"/>
    <col min="6" max="6" width="14.5" style="188" bestFit="1" customWidth="1"/>
    <col min="7" max="7" width="12.5" style="188" bestFit="1" customWidth="1"/>
    <col min="8" max="8" width="13" style="188" bestFit="1" customWidth="1"/>
    <col min="9" max="9" width="14.5" style="188" bestFit="1" customWidth="1"/>
    <col min="10" max="10" width="9.1640625" style="188" bestFit="1" customWidth="1"/>
    <col min="11" max="11" width="15.6640625" style="188" bestFit="1" customWidth="1"/>
    <col min="12" max="12" width="13.1640625" style="188" bestFit="1" customWidth="1"/>
    <col min="13" max="13" width="41.33203125" style="188" bestFit="1" customWidth="1"/>
    <col min="14" max="14" width="9.6640625" style="188" bestFit="1" customWidth="1"/>
    <col min="15" max="15" width="9" style="188" bestFit="1" customWidth="1"/>
    <col min="16" max="17" width="13.1640625" style="188" bestFit="1" customWidth="1"/>
    <col min="18" max="18" width="15.33203125" style="188" bestFit="1" customWidth="1"/>
    <col min="19" max="19" width="26.33203125" style="188" bestFit="1" customWidth="1"/>
    <col min="20" max="20" width="27.1640625" style="188" bestFit="1" customWidth="1"/>
    <col min="21" max="21" width="43.6640625" style="188" bestFit="1" customWidth="1"/>
    <col min="22" max="22" width="37.6640625" style="188" bestFit="1" customWidth="1"/>
    <col min="23" max="23" width="51" style="188" bestFit="1" customWidth="1"/>
    <col min="24" max="24" width="27.83203125" style="188" bestFit="1" customWidth="1"/>
    <col min="25" max="25" width="13.1640625" style="188" bestFit="1" customWidth="1"/>
    <col min="26" max="26" width="8.83203125" style="188" bestFit="1" customWidth="1"/>
    <col min="27" max="29" width="13.83203125" style="188" bestFit="1" customWidth="1"/>
    <col min="30" max="30" width="2.83203125" style="188" customWidth="1"/>
    <col min="31" max="31" width="22.6640625" style="188" bestFit="1" customWidth="1"/>
    <col min="32" max="32" width="40.83203125" style="188" bestFit="1" customWidth="1"/>
    <col min="33" max="34" width="13.1640625" style="188" bestFit="1" customWidth="1"/>
    <col min="35" max="35" width="4.83203125" style="188" customWidth="1"/>
    <col min="36" max="38" width="13.1640625" style="188" bestFit="1" customWidth="1"/>
    <col min="39" max="39" width="4.83203125" style="188" customWidth="1"/>
    <col min="40" max="42" width="13.83203125" style="188" bestFit="1" customWidth="1"/>
    <col min="43" max="43" width="2.83203125" style="188" customWidth="1"/>
    <col min="44" max="44" width="13.1640625" style="188" bestFit="1" customWidth="1"/>
    <col min="45" max="16384" width="9.33203125" style="188"/>
  </cols>
  <sheetData>
    <row r="1" spans="1:19" ht="33">
      <c r="A1" s="185" t="s">
        <v>119</v>
      </c>
      <c r="B1" s="186">
        <f>299792458</f>
        <v>299792458</v>
      </c>
      <c r="C1" s="187" t="s">
        <v>120</v>
      </c>
      <c r="E1" s="523" t="s">
        <v>536</v>
      </c>
      <c r="F1" s="523"/>
      <c r="G1" s="523"/>
      <c r="H1" s="523"/>
      <c r="I1" s="523"/>
      <c r="J1" s="523"/>
      <c r="K1" s="523"/>
      <c r="L1" s="523"/>
      <c r="M1" s="523"/>
      <c r="N1" s="189"/>
      <c r="O1" s="189"/>
      <c r="P1" s="189"/>
    </row>
    <row r="2" spans="1:19" ht="15" thickBot="1">
      <c r="A2" s="190" t="s">
        <v>121</v>
      </c>
      <c r="B2" s="191">
        <f>6.6260755E-34</f>
        <v>6.6260755E-34</v>
      </c>
      <c r="C2" s="192" t="s">
        <v>122</v>
      </c>
      <c r="E2" s="189"/>
      <c r="O2" s="193"/>
    </row>
    <row r="3" spans="1:19">
      <c r="A3" s="190" t="s">
        <v>123</v>
      </c>
      <c r="B3" s="191">
        <f>1.380658E-23</f>
        <v>1.3806580000000001E-23</v>
      </c>
      <c r="C3" s="192" t="s">
        <v>124</v>
      </c>
      <c r="E3" s="194" t="s">
        <v>274</v>
      </c>
      <c r="F3" s="195"/>
      <c r="G3" s="196" t="s">
        <v>125</v>
      </c>
      <c r="H3" s="197"/>
      <c r="I3" s="197"/>
      <c r="J3" s="197" t="s">
        <v>126</v>
      </c>
      <c r="K3" s="196" t="s">
        <v>127</v>
      </c>
      <c r="L3" s="198"/>
      <c r="M3" s="199"/>
      <c r="N3" s="197"/>
      <c r="O3" s="200"/>
      <c r="P3" s="197"/>
      <c r="Q3" s="197"/>
      <c r="R3" s="198"/>
    </row>
    <row r="4" spans="1:19" ht="15" thickBot="1">
      <c r="A4" s="201" t="s">
        <v>128</v>
      </c>
      <c r="B4" s="202">
        <f>0.0000000567051</f>
        <v>5.6705100000000003E-8</v>
      </c>
      <c r="C4" s="203" t="s">
        <v>129</v>
      </c>
      <c r="E4" s="204" t="s">
        <v>10</v>
      </c>
      <c r="F4" s="205" t="s">
        <v>130</v>
      </c>
      <c r="G4" s="205" t="s">
        <v>131</v>
      </c>
      <c r="H4" s="205" t="s">
        <v>132</v>
      </c>
      <c r="I4" s="205" t="s">
        <v>133</v>
      </c>
      <c r="J4" s="205"/>
      <c r="K4" s="206" t="s">
        <v>130</v>
      </c>
      <c r="L4" s="207"/>
      <c r="M4" s="208" t="s">
        <v>131</v>
      </c>
      <c r="N4" s="206"/>
      <c r="O4" s="206" t="s">
        <v>132</v>
      </c>
      <c r="P4" s="206"/>
      <c r="Q4" s="206" t="s">
        <v>133</v>
      </c>
      <c r="R4" s="209"/>
    </row>
    <row r="5" spans="1:19">
      <c r="E5" s="211">
        <v>0</v>
      </c>
      <c r="F5" s="188">
        <v>8.4</v>
      </c>
      <c r="G5" s="193">
        <f>$B$34*1.2*10^0</f>
        <v>1.2</v>
      </c>
      <c r="H5" s="193">
        <f>1.2*10^0*$B$34</f>
        <v>1.2</v>
      </c>
      <c r="I5" s="193">
        <f>1.2*10^0*$B$34</f>
        <v>1.2</v>
      </c>
      <c r="J5" s="193"/>
      <c r="K5" s="188">
        <f t="array" ref="K5:L5">LOGEST(F5:F6,E5:E6)</f>
        <v>0.99647343942365929</v>
      </c>
      <c r="L5" s="212">
        <v>8.4</v>
      </c>
      <c r="M5" s="213">
        <f t="array" ref="M5:N5">LOGEST(G5:G6,E5:E6)</f>
        <v>0.86267099598919128</v>
      </c>
      <c r="N5" s="193">
        <v>1.2000000000000013</v>
      </c>
      <c r="O5" s="193">
        <f t="array" ref="O5:P5">LOGEST(H5:H6,E5:E6)</f>
        <v>0.86300148430553925</v>
      </c>
      <c r="P5" s="193">
        <v>1.2000000000000004</v>
      </c>
      <c r="Q5" s="188">
        <f t="array" ref="Q5:R5">LOGEST(I5:I6,E5:E6)</f>
        <v>0.86354284336938314</v>
      </c>
      <c r="R5" s="214">
        <v>1.2000000000000024</v>
      </c>
      <c r="S5" s="193"/>
    </row>
    <row r="6" spans="1:19" ht="15" thickBot="1">
      <c r="E6" s="211">
        <v>100</v>
      </c>
      <c r="F6" s="188">
        <v>5.9</v>
      </c>
      <c r="G6" s="193">
        <f>4.61*10^-7*$B$34</f>
        <v>4.6100000000000001E-7</v>
      </c>
      <c r="H6" s="193">
        <f>4.79*10^-7*$B$34</f>
        <v>4.7899999999999999E-7</v>
      </c>
      <c r="I6" s="193">
        <f>5.1*10^-7*$B$34</f>
        <v>5.0999999999999999E-7</v>
      </c>
      <c r="J6" s="193"/>
      <c r="K6" s="188">
        <f t="array" ref="K6:L6">LOGEST(F6:F7,E6:E7)</f>
        <v>1.0297072329929207</v>
      </c>
      <c r="L6" s="212">
        <v>0.31584621299500232</v>
      </c>
      <c r="M6" s="213">
        <f t="array" ref="M6:N6">LOGEST(G6:G7,E6:E7)</f>
        <v>0.89346112401831479</v>
      </c>
      <c r="N6" s="193">
        <v>3.5986108723599558E-2</v>
      </c>
      <c r="O6" s="193">
        <f t="array" ref="O6:P6">LOGEST(H6:H7,E6:E7)</f>
        <v>0.89443103759468146</v>
      </c>
      <c r="P6" s="193">
        <v>3.3546667989377735E-2</v>
      </c>
      <c r="Q6" s="188">
        <f t="array" ref="Q6:R6">LOGEST(I6:I7,E6:E7)</f>
        <v>0.89544970934785129</v>
      </c>
      <c r="R6" s="214">
        <v>3.1875000000000216E-2</v>
      </c>
      <c r="S6" s="193"/>
    </row>
    <row r="7" spans="1:19" ht="15" thickBot="1">
      <c r="A7" s="215" t="s">
        <v>275</v>
      </c>
      <c r="B7" s="216">
        <v>132700000000</v>
      </c>
      <c r="C7" s="217" t="s">
        <v>134</v>
      </c>
      <c r="E7" s="211">
        <v>150</v>
      </c>
      <c r="F7" s="188">
        <v>25.5</v>
      </c>
      <c r="G7" s="193">
        <f>1.65*10^-9*$B$34</f>
        <v>1.6500000000000001E-9</v>
      </c>
      <c r="H7" s="193">
        <f>1.81*10^-9*$B$34</f>
        <v>1.8100000000000002E-9</v>
      </c>
      <c r="I7" s="193">
        <f>2.04*10^-9*$B$34</f>
        <v>2.04E-9</v>
      </c>
      <c r="J7" s="193"/>
      <c r="K7" s="188">
        <f t="array" ref="K7:L7">LOGEST(F7:F8,E7:E8)</f>
        <v>1.0077430733560648</v>
      </c>
      <c r="L7" s="212">
        <v>8.018015999999994</v>
      </c>
      <c r="M7" s="213">
        <f t="array" ref="M7:N7">LOGEST(G7:G8,E7:E8)</f>
        <v>0.95644218110239376</v>
      </c>
      <c r="N7" s="193">
        <v>1.3142432947406164E-6</v>
      </c>
      <c r="O7" s="193">
        <f t="array" ref="O7:P7">LOGEST(H7:H8,E7:E8)</f>
        <v>0.96141045125510749</v>
      </c>
      <c r="P7" s="193">
        <v>6.627545774349797E-7</v>
      </c>
      <c r="Q7" s="188">
        <f t="array" ref="Q7:R7">LOGEST(I7:I8,E7:E8)</f>
        <v>0.96546881378077976</v>
      </c>
      <c r="R7" s="214">
        <v>3.9709340956047757E-7</v>
      </c>
      <c r="S7" s="193"/>
    </row>
    <row r="8" spans="1:19" ht="15" thickBot="1">
      <c r="E8" s="211">
        <v>200</v>
      </c>
      <c r="F8" s="188">
        <v>37.5</v>
      </c>
      <c r="G8" s="193">
        <f>1.78*10^-10*$B$34</f>
        <v>1.7800000000000001E-10</v>
      </c>
      <c r="H8" s="193">
        <f>2.53*10^-10*$B$34</f>
        <v>2.5300000000000001E-10</v>
      </c>
      <c r="I8" s="193">
        <f>3.52*10^-10*$B$34</f>
        <v>3.5200000000000003E-10</v>
      </c>
      <c r="J8" s="193"/>
      <c r="K8" s="188">
        <f t="array" ref="K8:L8">LOGEST(F8:F9,E8:E9)</f>
        <v>1.0035636789870466</v>
      </c>
      <c r="L8" s="212">
        <v>18.409597045466189</v>
      </c>
      <c r="M8" s="213">
        <f t="array" ref="M8:N8">LOGEST(G8:G9,E8:E9)</f>
        <v>0.96714701577121509</v>
      </c>
      <c r="N8" s="193">
        <v>1.4187987049891646E-7</v>
      </c>
      <c r="O8" s="193">
        <f t="array" ref="O8:P8">LOGEST(H8:H9,E8:E9)</f>
        <v>0.97239178546508487</v>
      </c>
      <c r="P8" s="193">
        <v>6.836979018839576E-8</v>
      </c>
      <c r="Q8" s="188">
        <f t="array" ref="Q8:R8">LOGEST(I8:I9,E8:E9)</f>
        <v>0.97628195923691496</v>
      </c>
      <c r="R8" s="214">
        <v>4.2804542175819242E-8</v>
      </c>
      <c r="S8" s="193"/>
    </row>
    <row r="9" spans="1:19">
      <c r="A9" s="185" t="s">
        <v>276</v>
      </c>
      <c r="B9" s="218">
        <f>VLOOKUP('Attitude Control - Torques'!I6,Constants!K29:V39,11,FALSE)</f>
        <v>149600016.456</v>
      </c>
      <c r="C9" s="187" t="s">
        <v>11</v>
      </c>
      <c r="E9" s="211">
        <v>250</v>
      </c>
      <c r="F9" s="188">
        <v>44.8</v>
      </c>
      <c r="G9" s="193">
        <f>3.35*10^-11*$B$34</f>
        <v>3.3500000000000001E-11</v>
      </c>
      <c r="H9" s="193">
        <f>6.24*10^-11*$B$34</f>
        <v>6.2399999999999999E-11</v>
      </c>
      <c r="I9" s="193">
        <f>1.06*10^-10*$B$34</f>
        <v>1.0600000000000001E-10</v>
      </c>
      <c r="J9" s="193"/>
      <c r="K9" s="188">
        <f t="array" ref="K9:L9">LOGEST(F9:F10,E9:E10)</f>
        <v>1.0023186226113339</v>
      </c>
      <c r="L9" s="212">
        <v>25.108927269167818</v>
      </c>
      <c r="M9" s="213">
        <f t="array" ref="M9:N9">LOGEST(G9:G10,E9:E10)</f>
        <v>0.97222051708922141</v>
      </c>
      <c r="N9" s="193">
        <v>3.8357415185596573E-8</v>
      </c>
      <c r="O9" s="193">
        <f t="array" ref="O9:P9">LOGEST(H9:H10,E9:E10)</f>
        <v>0.97700548171152435</v>
      </c>
      <c r="P9" s="193">
        <v>2.0937965568000135E-8</v>
      </c>
      <c r="Q9" s="188">
        <f t="array" ref="Q9:R9">LOGEST(I9:I10,E9:E10)</f>
        <v>0.98050042536913595</v>
      </c>
      <c r="R9" s="214">
        <v>1.456663579927229E-8</v>
      </c>
      <c r="S9" s="193"/>
    </row>
    <row r="10" spans="1:19">
      <c r="A10" s="190" t="s">
        <v>277</v>
      </c>
      <c r="B10" s="188">
        <f>VLOOKUP('Attitude Control - Torques'!I6,Constants!K29:V39,10,FALSE)</f>
        <v>365.25599999999997</v>
      </c>
      <c r="C10" s="192" t="s">
        <v>278</v>
      </c>
      <c r="E10" s="211">
        <v>300</v>
      </c>
      <c r="F10" s="188">
        <v>50.3</v>
      </c>
      <c r="G10" s="193">
        <f>8.19*10^-12*$B$34</f>
        <v>8.1899999999999996E-12</v>
      </c>
      <c r="H10" s="193">
        <f>1.95*10^-11*$B$34</f>
        <v>1.9499999999999997E-11</v>
      </c>
      <c r="I10" s="193">
        <f>3.96*10^-11*$B$34</f>
        <v>3.9599999999999998E-11</v>
      </c>
      <c r="J10" s="193"/>
      <c r="K10" s="188">
        <f t="array" ref="K10:L10">LOGEST(F10:F11,E10:E11)</f>
        <v>1.0017151715639681</v>
      </c>
      <c r="L10" s="212">
        <v>30.08101903544739</v>
      </c>
      <c r="M10" s="213">
        <f t="array" ref="M10:N10">LOGEST(G10:G11,E10:E11)</f>
        <v>0.97525601850620436</v>
      </c>
      <c r="N10" s="193">
        <v>1.5055395468750046E-8</v>
      </c>
      <c r="O10" s="193">
        <f t="array" ref="O10:P10">LOGEST(H10:H11,E10:E11)</f>
        <v>0.97966234659641926</v>
      </c>
      <c r="P10" s="193">
        <v>9.2706405771136565E-9</v>
      </c>
      <c r="Q10" s="188">
        <f t="array" ref="Q10:R10">LOGEST(I10:I11,E10:E11)</f>
        <v>0.98285628058069752</v>
      </c>
      <c r="R10" s="214">
        <v>7.0907148974368284E-9</v>
      </c>
      <c r="S10" s="193"/>
    </row>
    <row r="11" spans="1:19">
      <c r="A11" s="190" t="s">
        <v>279</v>
      </c>
      <c r="B11" s="188">
        <f>VLOOKUP('Attitude Control - Torques'!I6,Constants!K29:V39,7,FALSE)</f>
        <v>6378.1369999999997</v>
      </c>
      <c r="C11" s="192" t="s">
        <v>11</v>
      </c>
      <c r="E11" s="211">
        <v>350</v>
      </c>
      <c r="F11" s="188">
        <v>54.8</v>
      </c>
      <c r="G11" s="193">
        <f>2.34*10^-12*$B$34</f>
        <v>2.3399999999999997E-12</v>
      </c>
      <c r="H11" s="193">
        <f>6.98*10^-12*$B$34</f>
        <v>6.9800000000000006E-12</v>
      </c>
      <c r="I11" s="193">
        <f>1.668*10^-11*$B$34</f>
        <v>1.6679999999999998E-11</v>
      </c>
      <c r="J11" s="193"/>
      <c r="K11" s="188">
        <f t="array" ref="K11:L11">LOGEST(F11:F12,E11:E12)</f>
        <v>1.0012046281980518</v>
      </c>
      <c r="L11" s="212">
        <v>35.957010369125094</v>
      </c>
      <c r="M11" s="213">
        <f t="array" ref="M11:N11">LOGEST(G11:G12,E11:E12)</f>
        <v>0.97702551278446703</v>
      </c>
      <c r="N11" s="193">
        <v>7.9826905087363789E-9</v>
      </c>
      <c r="O11" s="193">
        <f t="array" ref="O11:P11">LOGEST(H11:H12,E11:E12)</f>
        <v>0.98132817847367793</v>
      </c>
      <c r="P11" s="193">
        <v>5.1151815532580723E-9</v>
      </c>
      <c r="Q11" s="188">
        <f t="array" ref="Q11:R11">LOGEST(I11:I12,E11:E12)</f>
        <v>0.98427174476845669</v>
      </c>
      <c r="R11" s="214">
        <v>4.2848903122017038E-9</v>
      </c>
      <c r="S11" s="193"/>
    </row>
    <row r="12" spans="1:19">
      <c r="A12" s="190" t="s">
        <v>280</v>
      </c>
      <c r="B12" s="188">
        <f>VLOOKUP('Attitude Control - Torques'!I6,Constants!K29:Q39,6,FALSE)</f>
        <v>398600.44179999997</v>
      </c>
      <c r="C12" s="192" t="s">
        <v>134</v>
      </c>
      <c r="E12" s="211">
        <v>400</v>
      </c>
      <c r="F12" s="188">
        <v>58.2</v>
      </c>
      <c r="G12" s="193">
        <f>0.000000000000732*$B$34</f>
        <v>7.3200000000000001E-13</v>
      </c>
      <c r="H12" s="193">
        <f>0.00000000000272*$B$34</f>
        <v>2.7200000000000001E-12</v>
      </c>
      <c r="I12" s="193">
        <f>0.00000000000755*$B$34</f>
        <v>7.5500000000000007E-12</v>
      </c>
      <c r="J12" s="193"/>
      <c r="K12" s="188">
        <f t="array" ref="K12:L12">LOGEST(F12:F13,E12:E13)</f>
        <v>1.0010384285580636</v>
      </c>
      <c r="L12" s="212">
        <v>38.425813069096527</v>
      </c>
      <c r="M12" s="213">
        <f t="array" ref="M12:N12">LOGEST(G12:G13,E12:E13)</f>
        <v>0.97850650567608033</v>
      </c>
      <c r="N12" s="193">
        <v>4.3553604537007836E-9</v>
      </c>
      <c r="O12" s="193">
        <f t="array" ref="O12:P12">LOGEST(H12:H13,E12:E13)</f>
        <v>0.98258513759556954</v>
      </c>
      <c r="P12" s="193">
        <v>3.0654383649850907E-9</v>
      </c>
      <c r="Q12" s="188">
        <f t="array" ref="Q12:R12">LOGEST(I12:I13,E12:E13)</f>
        <v>0.98535155208239156</v>
      </c>
      <c r="R12" s="214">
        <v>2.7635348737019309E-9</v>
      </c>
      <c r="S12" s="193"/>
    </row>
    <row r="13" spans="1:19">
      <c r="A13" s="190" t="s">
        <v>281</v>
      </c>
      <c r="B13" s="219">
        <f>23+56/60+4/3600</f>
        <v>23.934444444444445</v>
      </c>
      <c r="C13" s="192" t="s">
        <v>282</v>
      </c>
      <c r="E13" s="211">
        <v>450</v>
      </c>
      <c r="F13" s="188">
        <v>61.3</v>
      </c>
      <c r="G13" s="193">
        <f>0.000000000000247*$B$34</f>
        <v>2.4700000000000001E-13</v>
      </c>
      <c r="H13" s="193">
        <f>0.00000000000113*$B$34</f>
        <v>1.13E-12</v>
      </c>
      <c r="I13" s="193">
        <f>0.00000000000361*$B$34</f>
        <v>3.6100000000000002E-12</v>
      </c>
      <c r="J13" s="193"/>
      <c r="K13" s="188">
        <f t="array" ref="K13:L13">LOGEST(F13:F14,E13:E14)</f>
        <v>1.0010182256573112</v>
      </c>
      <c r="L13" s="212">
        <v>38.776384530432807</v>
      </c>
      <c r="M13" s="213">
        <f t="array" ref="M13:N13">LOGEST(G13:G14,E13:E14)</f>
        <v>0.97996730783460739</v>
      </c>
      <c r="N13" s="193">
        <v>2.2257813678725773E-9</v>
      </c>
      <c r="O13" s="193">
        <f t="array" ref="O13:P13">LOGEST(H13:H14,E13:E14)</f>
        <v>0.98338732952300345</v>
      </c>
      <c r="P13" s="193">
        <v>2.1232674535004475E-9</v>
      </c>
      <c r="Q13" s="188">
        <f t="array" ref="Q13:R13">LOGEST(I13:I14,E13:E14)</f>
        <v>0.98617799126284589</v>
      </c>
      <c r="R13" s="214">
        <v>1.8950447638629697E-9</v>
      </c>
      <c r="S13" s="193"/>
    </row>
    <row r="14" spans="1:19" ht="15" thickBot="1">
      <c r="A14" s="201" t="s">
        <v>283</v>
      </c>
      <c r="B14" s="220">
        <f>VLOOKUP('Attitude Control - Torques'!I6,Constants!K29:V39,9,FALSE)</f>
        <v>24</v>
      </c>
      <c r="C14" s="203" t="s">
        <v>282</v>
      </c>
      <c r="E14" s="211">
        <v>500</v>
      </c>
      <c r="F14" s="188">
        <v>64.5</v>
      </c>
      <c r="G14" s="193">
        <f>0.0000000000000898*$B$34</f>
        <v>8.9800000000000006E-14</v>
      </c>
      <c r="H14" s="193">
        <f>0.000000000000489*$B$34</f>
        <v>4.8900000000000004E-13</v>
      </c>
      <c r="I14" s="193">
        <f>0.0000000000018*$B$34</f>
        <v>1.8E-12</v>
      </c>
      <c r="J14" s="193"/>
      <c r="K14" s="188">
        <f t="array" ref="K14:L14">LOGEST(F14:F15,E14:E15)</f>
        <v>1.0012624757609592</v>
      </c>
      <c r="L14" s="212">
        <v>34.323335891636866</v>
      </c>
      <c r="M14" s="213">
        <f t="array" ref="M14:N14">LOGEST(G14:G15,E14:E15)</f>
        <v>0.98204775184085935</v>
      </c>
      <c r="N14" s="193">
        <v>7.7085634766226934E-10</v>
      </c>
      <c r="O14" s="193">
        <f t="array" ref="O14:P14">LOGEST(H14:H15,E14:E15)</f>
        <v>0.98424148961990421</v>
      </c>
      <c r="P14" s="193">
        <v>1.3755447178182631E-9</v>
      </c>
      <c r="Q14" s="188">
        <f t="array" ref="Q14:R14">LOGEST(I14:I15,E14:E15)</f>
        <v>0.98677328788241292</v>
      </c>
      <c r="R14" s="214">
        <v>1.4014584573745438E-9</v>
      </c>
      <c r="S14" s="193"/>
    </row>
    <row r="15" spans="1:19" ht="15" thickBot="1">
      <c r="E15" s="211">
        <v>550</v>
      </c>
      <c r="F15" s="188">
        <v>68.7</v>
      </c>
      <c r="G15" s="193">
        <f>0.0000000000000363*$B$34</f>
        <v>3.6300000000000001E-14</v>
      </c>
      <c r="H15" s="193">
        <f>0.000000000000221*$B$34</f>
        <v>2.2099999999999999E-13</v>
      </c>
      <c r="I15" s="193">
        <f>0.000000000000925*$B$34</f>
        <v>9.25E-13</v>
      </c>
      <c r="J15" s="193"/>
      <c r="K15" s="188">
        <f t="array" ref="K15:L15">LOGEST(F15:F16,E15:E16)</f>
        <v>1.0017028218724708</v>
      </c>
      <c r="L15" s="212">
        <v>26.950279165713035</v>
      </c>
      <c r="M15" s="213">
        <f t="array" ref="M15:N15">LOGEST(G15:G16,E15:E16)</f>
        <v>0.98470933069819921</v>
      </c>
      <c r="N15" s="193">
        <v>1.7397121696089749E-10</v>
      </c>
      <c r="O15" s="193">
        <f t="array" ref="O15:P15">LOGEST(H15:H16,E15:E16)</f>
        <v>0.98503762945483397</v>
      </c>
      <c r="P15" s="193">
        <v>8.8174001825821176E-10</v>
      </c>
      <c r="Q15" s="188">
        <f t="array" ref="Q15:R15">LOGEST(I15:I16,E15:E16)</f>
        <v>0.98733229452271587</v>
      </c>
      <c r="R15" s="214">
        <v>1.0263685655874676E-9</v>
      </c>
      <c r="S15" s="193"/>
    </row>
    <row r="16" spans="1:19">
      <c r="A16" s="185" t="s">
        <v>284</v>
      </c>
      <c r="B16" s="218">
        <f>VLOOKUP('Attitude Control - Torques'!I6,Constants!K29:V39,11,FALSE)</f>
        <v>149600016.456</v>
      </c>
      <c r="C16" s="187" t="s">
        <v>11</v>
      </c>
      <c r="E16" s="211">
        <v>600</v>
      </c>
      <c r="F16" s="188">
        <v>74.8</v>
      </c>
      <c r="G16" s="193">
        <f>0.0000000000000168*$B$34</f>
        <v>1.6799999999999998E-14</v>
      </c>
      <c r="H16" s="193">
        <f>0.000000000000104*$B$34</f>
        <v>1.04E-13</v>
      </c>
      <c r="I16" s="193">
        <f>0.000000000000489*$B$34</f>
        <v>4.8900000000000004E-13</v>
      </c>
      <c r="J16" s="193"/>
      <c r="K16" s="188">
        <f t="array" ref="K16:L16">LOGEST(F16:F17,E16:E17)</f>
        <v>1.0024179087704428</v>
      </c>
      <c r="L16" s="212">
        <v>17.563514060429057</v>
      </c>
      <c r="M16" s="213">
        <f t="array" ref="M16:N16">LOGEST(G16:G17,E16:E17)</f>
        <v>0.98789943779896028</v>
      </c>
      <c r="N16" s="193">
        <v>2.4984249810371628E-11</v>
      </c>
      <c r="O16" s="193">
        <f t="array" ref="O16:P16">LOGEST(H16:H17,E16:E17)</f>
        <v>0.98604214505505416</v>
      </c>
      <c r="P16" s="193">
        <v>4.783509737758123E-10</v>
      </c>
      <c r="Q16" s="188">
        <f t="array" ref="Q16:R16">LOGEST(I16:I17,E16:E17)</f>
        <v>0.98774741403839106</v>
      </c>
      <c r="R16" s="214">
        <v>7.975685973417382E-10</v>
      </c>
      <c r="S16" s="193"/>
    </row>
    <row r="17" spans="1:23">
      <c r="A17" s="190" t="s">
        <v>285</v>
      </c>
      <c r="B17" s="188">
        <f>VLOOKUP('Attitude Control - Torques'!I6,Constants!K29:V39,10,FALSE)</f>
        <v>365.25599999999997</v>
      </c>
      <c r="C17" s="192" t="s">
        <v>278</v>
      </c>
      <c r="E17" s="211">
        <v>650</v>
      </c>
      <c r="F17" s="188">
        <v>84.4</v>
      </c>
      <c r="G17" s="193">
        <f>0.00000000000000914*$B$34</f>
        <v>9.1399999999999994E-15</v>
      </c>
      <c r="H17" s="193">
        <f>0.0000000000000515*$B$34</f>
        <v>5.1500000000000001E-14</v>
      </c>
      <c r="I17" s="193">
        <f>0.000000000000264*$B$34</f>
        <v>2.6399999999999999E-13</v>
      </c>
      <c r="J17" s="193"/>
      <c r="K17" s="188">
        <f t="array" ref="K17:L17">LOGEST(F17:F18,E17:E18)</f>
        <v>1.0032568554554959</v>
      </c>
      <c r="L17" s="212">
        <v>10.196568057906818</v>
      </c>
      <c r="M17" s="213">
        <f t="array" ref="M17:N17">LOGEST(G17:G18,E17:E18)</f>
        <v>0.99073912500205386</v>
      </c>
      <c r="N17" s="193">
        <v>3.8671599834519859E-12</v>
      </c>
      <c r="O17" s="193">
        <f t="array" ref="O17:P17">LOGEST(H17:H18,E17:E18)</f>
        <v>0.98731385949615302</v>
      </c>
      <c r="P17" s="193">
        <v>2.0696907282656924E-10</v>
      </c>
      <c r="Q17" s="188">
        <f t="array" ref="Q17:R17">LOGEST(I17:I18,E17:E18)</f>
        <v>0.98835796872936854</v>
      </c>
      <c r="R17" s="214">
        <v>5.3373984411506108E-10</v>
      </c>
      <c r="S17" s="193"/>
    </row>
    <row r="18" spans="1:23">
      <c r="A18" s="190" t="s">
        <v>286</v>
      </c>
      <c r="B18" s="188">
        <f>VLOOKUP('Attitude Control - Torques'!I6,Constants!K29:V39,7,FALSE)</f>
        <v>6378.1369999999997</v>
      </c>
      <c r="C18" s="192" t="s">
        <v>11</v>
      </c>
      <c r="E18" s="211">
        <v>700</v>
      </c>
      <c r="F18" s="188">
        <v>99.3</v>
      </c>
      <c r="G18" s="193">
        <f>0.00000000000000574*$B$34</f>
        <v>5.7400000000000002E-15</v>
      </c>
      <c r="H18" s="193">
        <f>0.0000000000000272*$B$34</f>
        <v>2.72E-14</v>
      </c>
      <c r="I18" s="193">
        <f>0.000000000000147*$B$34</f>
        <v>1.47E-13</v>
      </c>
      <c r="J18" s="193"/>
      <c r="K18" s="188">
        <f t="array" ref="K18:L18">LOGEST(F18:F19,E18:E19)</f>
        <v>1.0039607225025682</v>
      </c>
      <c r="L18" s="212">
        <v>6.2408471064885678</v>
      </c>
      <c r="M18" s="213">
        <f t="array" ref="M18:N18">LOGEST(G18:G19,E18:E19)</f>
        <v>0.99275302727877701</v>
      </c>
      <c r="N18" s="193">
        <v>9.33378614960351E-13</v>
      </c>
      <c r="O18" s="193">
        <f t="array" ref="O18:P18">LOGEST(H18:H19,E18:E19)</f>
        <v>0.98881547809545578</v>
      </c>
      <c r="P18" s="193">
        <v>7.1431502647818523E-11</v>
      </c>
      <c r="Q18" s="188">
        <f t="array" ref="Q18:R18">LOGEST(I18:I19,E18:E19)</f>
        <v>0.98879932770823109</v>
      </c>
      <c r="R18" s="214">
        <v>3.9048432895712179E-10</v>
      </c>
      <c r="S18" s="193"/>
    </row>
    <row r="19" spans="1:23">
      <c r="A19" s="190" t="s">
        <v>287</v>
      </c>
      <c r="B19" s="188">
        <f>VLOOKUP('Attitude Control - Torques'!I6,Constants!K29:Q39,6,FALSE)</f>
        <v>398600.44179999997</v>
      </c>
      <c r="C19" s="192" t="s">
        <v>134</v>
      </c>
      <c r="E19" s="211">
        <v>750</v>
      </c>
      <c r="F19" s="188">
        <v>121</v>
      </c>
      <c r="G19" s="193">
        <f>0.00000000000000399*$B$34</f>
        <v>3.9899999999999998E-15</v>
      </c>
      <c r="H19" s="193">
        <f>0.0000000000000155*$B$34</f>
        <v>1.55E-14</v>
      </c>
      <c r="I19" s="193">
        <f>0.0000000000000837*$B$34</f>
        <v>8.3699999999999999E-14</v>
      </c>
      <c r="J19" s="193"/>
      <c r="K19" s="188">
        <f t="array" ref="K19:L19">LOGEST(F19:F20,E19:E20)</f>
        <v>1.0044396118292633</v>
      </c>
      <c r="L19" s="212">
        <v>4.3642710536346394</v>
      </c>
      <c r="M19" s="213">
        <f t="array" ref="M19:N19">LOGEST(G19:G20,E19:E20)</f>
        <v>0.99404575792898242</v>
      </c>
      <c r="N19" s="193">
        <v>3.5171481740108943E-13</v>
      </c>
      <c r="O19" s="193">
        <f t="array" ref="O19:P19">LOGEST(H19:H20,E19:E20)</f>
        <v>0.99052602759281694</v>
      </c>
      <c r="P19" s="193">
        <v>1.9539473795978207E-11</v>
      </c>
      <c r="Q19" s="188">
        <f t="array" ref="Q19:R19">LOGEST(I19:I20,E19:E20)</f>
        <v>0.98717643846556513</v>
      </c>
      <c r="R19" s="214">
        <v>1.3385651822102685E-9</v>
      </c>
      <c r="S19" s="193"/>
    </row>
    <row r="20" spans="1:23">
      <c r="A20" s="190" t="s">
        <v>288</v>
      </c>
      <c r="B20" s="188">
        <f>VLOOKUP('Attitude Control - Torques'!I6,Constants!K29:V39,8,FALSE)</f>
        <v>1.0826359000000001E-3</v>
      </c>
      <c r="C20" s="192"/>
      <c r="E20" s="211">
        <v>800</v>
      </c>
      <c r="F20" s="188">
        <v>151</v>
      </c>
      <c r="G20" s="193">
        <f>0.00000000000000296*$B$34</f>
        <v>2.96E-15</v>
      </c>
      <c r="H20" s="193">
        <f>0.00000000000000963*$B$34</f>
        <v>9.6300000000000007E-15</v>
      </c>
      <c r="I20" s="193">
        <f>0.0000000000000439*$B$34</f>
        <v>4.3900000000000001E-14</v>
      </c>
      <c r="J20" s="193"/>
      <c r="K20" s="188">
        <f t="array" ref="K20:L20">LOGEST(F20:F21,E20:E21)</f>
        <v>1.0043928629789283</v>
      </c>
      <c r="L20" s="212">
        <v>4.5298363842453391</v>
      </c>
      <c r="M20" s="213">
        <f t="array" ref="M20:N20">LOGEST(G20:G21,E20:E21)</f>
        <v>0.99479332545704979</v>
      </c>
      <c r="N20" s="193">
        <v>1.9275317303929872E-13</v>
      </c>
      <c r="O20" s="193">
        <f t="array" ref="O20:P20">LOGEST(H20:H21,E20:E21)</f>
        <v>0.99207740813652334</v>
      </c>
      <c r="P20" s="193">
        <v>5.5869963858069021E-12</v>
      </c>
      <c r="Q20" s="188">
        <f t="array" ref="Q20:R20">LOGEST(I20:I21,E20:E21)</f>
        <v>0.99241457687135637</v>
      </c>
      <c r="R20" s="214">
        <v>1.9406926837156084E-11</v>
      </c>
      <c r="S20" s="193"/>
    </row>
    <row r="21" spans="1:23">
      <c r="A21" s="190" t="s">
        <v>289</v>
      </c>
      <c r="B21" s="188">
        <v>-3.3800000000000002E-3</v>
      </c>
      <c r="C21" s="192"/>
      <c r="E21" s="211">
        <v>850</v>
      </c>
      <c r="F21" s="188">
        <v>188</v>
      </c>
      <c r="G21" s="193">
        <f>0.00000000000000228*$B$34</f>
        <v>2.28E-15</v>
      </c>
      <c r="H21" s="193">
        <f>0.00000000000000647*$B$34</f>
        <v>6.4699999999999998E-15</v>
      </c>
      <c r="I21" s="193">
        <f>0.00000000000003*$B$34</f>
        <v>2.9999999999999998E-14</v>
      </c>
      <c r="J21" s="193"/>
      <c r="K21" s="188">
        <f t="array" ref="K21:L21">LOGEST(F21:F22,E21:E22)</f>
        <v>1.0036886471043338</v>
      </c>
      <c r="L21" s="212">
        <v>8.2223852494748488</v>
      </c>
      <c r="M21" s="213">
        <f t="array" ref="M21:N21">LOGEST(G21:G22,E21:E22)</f>
        <v>0.99528338277796058</v>
      </c>
      <c r="N21" s="193">
        <v>1.2682201794880647E-13</v>
      </c>
      <c r="O21" s="193">
        <f t="array" ref="O21:P21">LOGEST(H21:H22,E21:E22)</f>
        <v>0.99345827763426942</v>
      </c>
      <c r="P21" s="193">
        <v>1.7128387056351139E-12</v>
      </c>
      <c r="Q21" s="188">
        <f t="array" ref="Q21:R21">LOGEST(I21:I22,E21:E22)</f>
        <v>0.99101046870177212</v>
      </c>
      <c r="R21" s="214">
        <v>6.4656968987765573E-11</v>
      </c>
      <c r="S21" s="193"/>
    </row>
    <row r="22" spans="1:23">
      <c r="A22" s="190" t="s">
        <v>290</v>
      </c>
      <c r="B22" s="188">
        <v>-1.5399999999999999E-3</v>
      </c>
      <c r="C22" s="192"/>
      <c r="E22" s="211">
        <v>900</v>
      </c>
      <c r="F22" s="188">
        <v>226</v>
      </c>
      <c r="G22" s="193">
        <f>0.0000000000000018*$B$34</f>
        <v>1.8000000000000001E-15</v>
      </c>
      <c r="H22" s="193">
        <f>0.00000000000000466*$B$34</f>
        <v>4.66E-15</v>
      </c>
      <c r="I22" s="193">
        <f>0.0000000000000191*$B$34</f>
        <v>1.9099999999999999E-14</v>
      </c>
      <c r="J22" s="193"/>
      <c r="K22" s="188">
        <f t="array" ref="K22:L22">LOGEST(F22:F23,E22:E23)</f>
        <v>1.003036982975154</v>
      </c>
      <c r="L22" s="212">
        <v>14.75220269622452</v>
      </c>
      <c r="M22" s="213">
        <f t="array" ref="M22:N22">LOGEST(G22:G23,E22:E23)</f>
        <v>0.9955470727844663</v>
      </c>
      <c r="N22" s="193">
        <v>9.9920072216262486E-14</v>
      </c>
      <c r="O22" s="193">
        <f t="array" ref="O22:P22">LOGEST(H22:H23,E22:E23)</f>
        <v>0.99451731068445393</v>
      </c>
      <c r="P22" s="193">
        <v>6.5655891186421452E-13</v>
      </c>
      <c r="Q22" s="188">
        <f t="array" ref="Q22:R22">LOGEST(I22:I23,E22:E23)</f>
        <v>0.9918714896313483</v>
      </c>
      <c r="R22" s="214">
        <v>2.9591501382697513E-11</v>
      </c>
      <c r="S22" s="193"/>
    </row>
    <row r="23" spans="1:23">
      <c r="A23" s="190" t="s">
        <v>291</v>
      </c>
      <c r="B23" s="188">
        <v>1.6900000000000001E-3</v>
      </c>
      <c r="C23" s="192"/>
      <c r="E23" s="211">
        <v>950</v>
      </c>
      <c r="F23" s="188">
        <v>263</v>
      </c>
      <c r="G23" s="193">
        <f>0.00000000000000144*$B$34</f>
        <v>1.4399999999999999E-15</v>
      </c>
      <c r="H23" s="193">
        <f>0.00000000000000354*$B$34</f>
        <v>3.5399999999999999E-15</v>
      </c>
      <c r="I23" s="193">
        <f>0.0000000000000127*$B$34</f>
        <v>1.27E-14</v>
      </c>
      <c r="J23" s="193"/>
      <c r="K23" s="188">
        <f t="array" ref="K23:L23">LOGEST(F23:F24,E23:E24)</f>
        <v>1.0023669051507635</v>
      </c>
      <c r="L23" s="212">
        <v>27.833797269029549</v>
      </c>
      <c r="M23" s="213">
        <f t="array" ref="M23:N23">LOGEST(G23:G24,E23:E24)</f>
        <v>0.99585582360173075</v>
      </c>
      <c r="N23" s="193">
        <v>7.442493580643573E-14</v>
      </c>
      <c r="O23" s="193">
        <f t="array" ref="O23:P23">LOGEST(H23:H24,E23:E24)</f>
        <v>0.99524961630677777</v>
      </c>
      <c r="P23" s="193">
        <v>3.2627618699970499E-13</v>
      </c>
      <c r="Q23" s="188">
        <f t="array" ref="Q23:R23">LOGEST(I23:I24,E23:E24)</f>
        <v>0.99277988881129975</v>
      </c>
      <c r="R23" s="214">
        <v>1.2401704637977268E-11</v>
      </c>
      <c r="S23" s="193"/>
    </row>
    <row r="24" spans="1:23">
      <c r="A24" s="190" t="s">
        <v>292</v>
      </c>
      <c r="B24" s="188">
        <v>7.6999999999999996E-4</v>
      </c>
      <c r="C24" s="192"/>
      <c r="E24" s="211">
        <v>1000</v>
      </c>
      <c r="F24" s="188">
        <v>296</v>
      </c>
      <c r="G24" s="193">
        <f>0.00000000000000117*$B$34</f>
        <v>1.1700000000000001E-15</v>
      </c>
      <c r="H24" s="193">
        <f>0.00000000000000279*$B$34</f>
        <v>2.79E-15</v>
      </c>
      <c r="I24" s="193">
        <f>0.00000000000000884*$B$34</f>
        <v>8.8400000000000001E-15</v>
      </c>
      <c r="J24" s="193"/>
      <c r="K24" s="188">
        <f t="array" ref="K24:L24">LOGEST(F24:F25,E24:E25)</f>
        <v>1.0012844550870601</v>
      </c>
      <c r="L24" s="212">
        <v>82.000764796197444</v>
      </c>
      <c r="M24" s="213">
        <f t="array" ref="M24:N24">LOGEST(G24:G25,E24:E25)</f>
        <v>0.99633302076948493</v>
      </c>
      <c r="N24" s="193">
        <v>4.609584562287006E-14</v>
      </c>
      <c r="O24" s="193">
        <f t="array" ref="O24:P24">LOGEST(H24:H25,E24:E25)</f>
        <v>0.99632006130950868</v>
      </c>
      <c r="P24" s="193">
        <v>1.1135996896211084E-13</v>
      </c>
      <c r="Q24" s="188">
        <f t="array" ref="Q24:R24">LOGEST(I24:I25,E24:E25)</f>
        <v>0.99510152086947978</v>
      </c>
      <c r="R24" s="214">
        <v>1.1996712985778447E-12</v>
      </c>
      <c r="S24" s="193"/>
    </row>
    <row r="25" spans="1:23">
      <c r="A25" s="190" t="s">
        <v>293</v>
      </c>
      <c r="B25" s="219">
        <f>23+56/60+4/3600</f>
        <v>23.934444444444445</v>
      </c>
      <c r="C25" s="192" t="s">
        <v>282</v>
      </c>
      <c r="E25" s="211">
        <v>1250</v>
      </c>
      <c r="F25" s="188">
        <v>408</v>
      </c>
      <c r="G25" s="193">
        <f>0.000000000000000467*$B$34</f>
        <v>4.67E-16</v>
      </c>
      <c r="H25" s="193">
        <f>0.00000000000000111*$B$34</f>
        <v>1.1100000000000001E-15</v>
      </c>
      <c r="I25" s="193">
        <f>0.00000000000000259*$B$34</f>
        <v>2.5899999999999999E-15</v>
      </c>
      <c r="J25" s="193"/>
      <c r="K25" s="188">
        <f t="array" ref="K25:L25">LOGEST(F25:F26,E25:E26)</f>
        <v>1.0009397996995577</v>
      </c>
      <c r="L25" s="212">
        <v>126.09924038172402</v>
      </c>
      <c r="M25" s="213">
        <f t="array" ref="M25:N25">LOGEST(G25:G26,E25:E26)</f>
        <v>0.99717100936206238</v>
      </c>
      <c r="N25" s="193">
        <v>1.6116179776371475E-14</v>
      </c>
      <c r="O25" s="193">
        <f t="array" ref="O25:P25">LOGEST(H25:H26,E25:E26)</f>
        <v>0.99697911108488935</v>
      </c>
      <c r="P25" s="193">
        <v>4.8724709243963904E-14</v>
      </c>
      <c r="Q25" s="188">
        <f t="array" ref="Q25:R25">LOGEST(I25:I26,E25:E26)</f>
        <v>0.99699330113208129</v>
      </c>
      <c r="R25" s="214">
        <v>1.1168617847923854E-13</v>
      </c>
      <c r="S25" s="193"/>
    </row>
    <row r="26" spans="1:23" ht="15" thickBot="1">
      <c r="A26" s="190" t="s">
        <v>294</v>
      </c>
      <c r="B26" s="219">
        <f>VLOOKUP('Attitude Control - Torques'!I6,Constants!K29:V39,9,FALSE)</f>
        <v>24</v>
      </c>
      <c r="C26" s="192" t="s">
        <v>282</v>
      </c>
      <c r="E26" s="221">
        <v>1500</v>
      </c>
      <c r="F26" s="222">
        <v>516</v>
      </c>
      <c r="G26" s="223">
        <f>0.00000000000000023*$B$34</f>
        <v>2.2999999999999999E-16</v>
      </c>
      <c r="H26" s="223">
        <f>0.000000000000000521*$B$34</f>
        <v>5.2099999999999999E-16</v>
      </c>
      <c r="I26" s="223">
        <f>0.00000000000000122*$B$34</f>
        <v>1.2199999999999999E-15</v>
      </c>
      <c r="J26" s="223"/>
      <c r="K26" s="222"/>
      <c r="L26" s="224"/>
      <c r="M26" s="225"/>
      <c r="N26" s="223"/>
      <c r="O26" s="223"/>
      <c r="P26" s="223"/>
      <c r="Q26" s="222"/>
      <c r="R26" s="224"/>
      <c r="S26" s="193"/>
    </row>
    <row r="27" spans="1:23">
      <c r="A27" s="190" t="s">
        <v>295</v>
      </c>
      <c r="B27" s="226">
        <f>2*PI()*Planet_Radius/24/60/60*1000</f>
        <v>463.8312116386399</v>
      </c>
      <c r="C27" s="192" t="s">
        <v>120</v>
      </c>
      <c r="M27" s="193"/>
      <c r="N27" s="193"/>
      <c r="O27" s="193"/>
      <c r="P27" s="193"/>
    </row>
    <row r="28" spans="1:23" ht="15" thickBot="1">
      <c r="A28" s="190" t="s">
        <v>296</v>
      </c>
      <c r="B28" s="227">
        <f>VLOOKUP('Attitude Control - Torques'!I6,Constants!K29:V39,12,FALSE)</f>
        <v>7960000000000000</v>
      </c>
      <c r="C28" s="192" t="s">
        <v>135</v>
      </c>
      <c r="M28" s="193"/>
      <c r="N28" s="193"/>
      <c r="O28" s="193"/>
      <c r="P28" s="193"/>
    </row>
    <row r="29" spans="1:23" ht="15" thickTop="1">
      <c r="A29" s="190" t="s">
        <v>297</v>
      </c>
      <c r="B29" s="228">
        <f>VLOOKUP('Attitude Control - Torques'!I6,Constants!K29:V39,3,FALSE)</f>
        <v>258</v>
      </c>
      <c r="C29" s="192" t="s">
        <v>136</v>
      </c>
      <c r="E29" s="524" t="s">
        <v>298</v>
      </c>
      <c r="F29" s="524"/>
      <c r="G29" s="524"/>
      <c r="H29" s="195"/>
      <c r="I29" s="229"/>
      <c r="K29" s="230" t="s">
        <v>299</v>
      </c>
      <c r="L29" s="231" t="s">
        <v>300</v>
      </c>
      <c r="M29" s="231" t="s">
        <v>301</v>
      </c>
      <c r="N29" s="231" t="s">
        <v>302</v>
      </c>
      <c r="O29" s="231" t="s">
        <v>303</v>
      </c>
      <c r="P29" s="231" t="s">
        <v>304</v>
      </c>
      <c r="Q29" s="231" t="s">
        <v>305</v>
      </c>
      <c r="R29" s="231" t="s">
        <v>306</v>
      </c>
      <c r="S29" s="231" t="s">
        <v>307</v>
      </c>
      <c r="T29" s="231" t="s">
        <v>308</v>
      </c>
      <c r="U29" s="195" t="s">
        <v>284</v>
      </c>
      <c r="V29" s="232" t="s">
        <v>309</v>
      </c>
      <c r="W29" s="233" t="s">
        <v>310</v>
      </c>
    </row>
    <row r="30" spans="1:23">
      <c r="A30" s="190" t="s">
        <v>311</v>
      </c>
      <c r="B30" s="228">
        <f>VLOOKUP('Attitude Control - Torques'!I6,Constants!K29:V39,4,FALSE)</f>
        <v>216</v>
      </c>
      <c r="C30" s="192" t="s">
        <v>136</v>
      </c>
      <c r="E30" s="211"/>
      <c r="F30" s="210" t="s">
        <v>140</v>
      </c>
      <c r="I30" s="192" t="s">
        <v>140</v>
      </c>
      <c r="K30" s="234" t="s">
        <v>312</v>
      </c>
      <c r="L30" s="210">
        <v>0.3871</v>
      </c>
      <c r="M30" s="210"/>
      <c r="N30" s="210"/>
      <c r="O30" s="210">
        <v>0.14199999999999999</v>
      </c>
      <c r="P30" s="210">
        <v>22032.1</v>
      </c>
      <c r="Q30" s="210">
        <v>2439.6999999999998</v>
      </c>
      <c r="R30" s="210">
        <f>0.00006</f>
        <v>6.0000000000000002E-5</v>
      </c>
      <c r="S30" s="188">
        <v>1408</v>
      </c>
      <c r="T30" s="210">
        <v>87.968999999999994</v>
      </c>
      <c r="U30" s="188">
        <v>57909999.928000003</v>
      </c>
      <c r="V30" s="193">
        <v>0</v>
      </c>
      <c r="W30" s="235">
        <v>1.0000000000000001E-43</v>
      </c>
    </row>
    <row r="31" spans="1:23">
      <c r="A31" s="190" t="s">
        <v>313</v>
      </c>
      <c r="B31" s="191">
        <v>1418</v>
      </c>
      <c r="C31" s="192" t="s">
        <v>136</v>
      </c>
      <c r="E31" s="211"/>
      <c r="F31" s="210" t="s">
        <v>141</v>
      </c>
      <c r="I31" s="192" t="s">
        <v>141</v>
      </c>
      <c r="K31" s="234" t="s">
        <v>314</v>
      </c>
      <c r="L31" s="210">
        <v>0.72330000000000005</v>
      </c>
      <c r="M31" s="210"/>
      <c r="N31" s="210"/>
      <c r="O31" s="210"/>
      <c r="P31" s="210">
        <v>324858.59169999999</v>
      </c>
      <c r="Q31" s="210">
        <v>6051.8</v>
      </c>
      <c r="R31" s="210">
        <v>4.4580000000000003E-6</v>
      </c>
      <c r="S31" s="188">
        <v>5832</v>
      </c>
      <c r="T31" s="210">
        <v>224.70099999999999</v>
      </c>
      <c r="U31" s="188">
        <v>108208969.704</v>
      </c>
      <c r="V31" s="193">
        <v>0</v>
      </c>
      <c r="W31" s="235">
        <v>1.0000000000000001E-43</v>
      </c>
    </row>
    <row r="32" spans="1:23">
      <c r="A32" s="190" t="s">
        <v>315</v>
      </c>
      <c r="B32" s="236">
        <f>VLOOKUP('Attitude Control - Torques'!I6,Constants!K29:V39,5,FALSE)</f>
        <v>0.34</v>
      </c>
      <c r="C32" s="192"/>
      <c r="E32" s="211" t="s">
        <v>118</v>
      </c>
      <c r="F32" s="237">
        <v>0.26700000000000002</v>
      </c>
      <c r="H32" s="188" t="s">
        <v>142</v>
      </c>
      <c r="I32" s="238">
        <v>7.4999999999999997E-2</v>
      </c>
      <c r="K32" s="234" t="s">
        <v>316</v>
      </c>
      <c r="L32" s="210">
        <v>1</v>
      </c>
      <c r="M32" s="210">
        <v>258</v>
      </c>
      <c r="N32" s="210">
        <v>216</v>
      </c>
      <c r="O32" s="210">
        <v>0.34</v>
      </c>
      <c r="P32" s="210">
        <v>398600.44179999997</v>
      </c>
      <c r="Q32" s="210">
        <v>6378.1369999999997</v>
      </c>
      <c r="R32" s="210">
        <v>1.0826359000000001E-3</v>
      </c>
      <c r="S32" s="188">
        <v>24</v>
      </c>
      <c r="T32" s="210">
        <v>365.25599999999997</v>
      </c>
      <c r="U32" s="188">
        <v>149600016.456</v>
      </c>
      <c r="V32" s="227">
        <v>7960000000000000</v>
      </c>
      <c r="W32" s="235">
        <v>1</v>
      </c>
    </row>
    <row r="33" spans="1:33">
      <c r="A33" s="190" t="s">
        <v>317</v>
      </c>
      <c r="B33" s="191">
        <f>1367/(VLOOKUP('Attitude Control - Torques'!I6,Constants!K29:W39,2,FALSE))^2</f>
        <v>1367</v>
      </c>
      <c r="C33" s="192" t="s">
        <v>136</v>
      </c>
      <c r="E33" s="211" t="s">
        <v>143</v>
      </c>
      <c r="F33" s="237">
        <v>0.217</v>
      </c>
      <c r="H33" s="188" t="s">
        <v>144</v>
      </c>
      <c r="I33" s="238">
        <v>0.08</v>
      </c>
      <c r="K33" s="234" t="s">
        <v>318</v>
      </c>
      <c r="L33" s="210">
        <v>1</v>
      </c>
      <c r="M33" s="210">
        <v>1226</v>
      </c>
      <c r="N33" s="210">
        <v>5.2</v>
      </c>
      <c r="O33" s="210">
        <v>7.2999999999999995E-2</v>
      </c>
      <c r="P33" s="210">
        <v>4902</v>
      </c>
      <c r="Q33" s="210">
        <v>1737</v>
      </c>
      <c r="R33" s="210">
        <v>2.0269999999999999E-4</v>
      </c>
      <c r="S33" s="188">
        <f>27*S32</f>
        <v>648</v>
      </c>
      <c r="T33" s="210">
        <f>655.728/24</f>
        <v>27.321999999999999</v>
      </c>
      <c r="U33" s="188">
        <v>149600000</v>
      </c>
      <c r="V33" s="193">
        <v>0</v>
      </c>
      <c r="W33" s="235">
        <v>1.0000000000000001E-43</v>
      </c>
    </row>
    <row r="34" spans="1:33" ht="15" thickBot="1">
      <c r="A34" s="201" t="s">
        <v>319</v>
      </c>
      <c r="B34" s="239">
        <f>VLOOKUP('Attitude Control - Torques'!I6,Constants!K29:W39,13,FALSE)</f>
        <v>1</v>
      </c>
      <c r="C34" s="203"/>
      <c r="E34" s="211" t="s">
        <v>145</v>
      </c>
      <c r="F34" s="237">
        <v>3.4000000000000002E-2</v>
      </c>
      <c r="H34" s="188" t="s">
        <v>7</v>
      </c>
      <c r="I34" s="238">
        <v>3.6999999999999998E-2</v>
      </c>
      <c r="K34" s="234" t="s">
        <v>320</v>
      </c>
      <c r="L34" s="210">
        <v>1.524</v>
      </c>
      <c r="M34" s="210">
        <v>390</v>
      </c>
      <c r="N34" s="210">
        <v>30</v>
      </c>
      <c r="O34" s="210">
        <v>0.28999999999999998</v>
      </c>
      <c r="P34" s="210">
        <v>42828</v>
      </c>
      <c r="Q34" s="210">
        <v>3390</v>
      </c>
      <c r="R34" s="210">
        <v>1.9604499999999999E-3</v>
      </c>
      <c r="S34" s="188">
        <v>25</v>
      </c>
      <c r="T34" s="210">
        <v>686.98</v>
      </c>
      <c r="U34" s="188">
        <v>227939881.57600001</v>
      </c>
      <c r="V34" s="188">
        <v>0</v>
      </c>
      <c r="W34" s="235">
        <v>0.1</v>
      </c>
    </row>
    <row r="35" spans="1:33" ht="15" thickBot="1">
      <c r="E35" s="221" t="s">
        <v>117</v>
      </c>
      <c r="F35" s="240">
        <v>0.27900000000000003</v>
      </c>
      <c r="G35" s="222"/>
      <c r="H35" s="222"/>
      <c r="I35" s="224"/>
      <c r="K35" s="234" t="s">
        <v>321</v>
      </c>
      <c r="L35" s="210">
        <v>5.2</v>
      </c>
      <c r="M35" s="210"/>
      <c r="N35" s="210"/>
      <c r="O35" s="210"/>
      <c r="P35" s="210">
        <v>126712762.59999999</v>
      </c>
      <c r="Q35" s="210">
        <v>71492</v>
      </c>
      <c r="R35" s="210">
        <v>1.4736000000000001E-2</v>
      </c>
      <c r="S35" s="188">
        <v>10</v>
      </c>
      <c r="T35" s="210">
        <v>4332.5889999999999</v>
      </c>
      <c r="U35" s="188">
        <v>778423106.296</v>
      </c>
      <c r="V35" s="188">
        <v>0</v>
      </c>
      <c r="W35" s="235">
        <v>1.0000000000000001E-43</v>
      </c>
    </row>
    <row r="36" spans="1:33" ht="15" thickBot="1">
      <c r="K36" s="234" t="s">
        <v>322</v>
      </c>
      <c r="L36" s="210">
        <v>9.5399999999999991</v>
      </c>
      <c r="M36" s="210"/>
      <c r="N36" s="210"/>
      <c r="O36" s="210"/>
      <c r="P36" s="210">
        <v>37940584.899999999</v>
      </c>
      <c r="Q36" s="210">
        <v>60268</v>
      </c>
      <c r="R36" s="210">
        <v>1.6298E-2</v>
      </c>
      <c r="S36" s="188">
        <v>11</v>
      </c>
      <c r="T36" s="210">
        <v>10759.22</v>
      </c>
      <c r="U36" s="188">
        <v>1426745719.872</v>
      </c>
      <c r="V36" s="188">
        <v>0</v>
      </c>
      <c r="W36" s="235">
        <v>1.0000000000000001E-43</v>
      </c>
    </row>
    <row r="37" spans="1:33" ht="15" thickBot="1">
      <c r="A37" s="215" t="s">
        <v>137</v>
      </c>
      <c r="B37" s="216">
        <v>290</v>
      </c>
      <c r="C37" s="217" t="s">
        <v>138</v>
      </c>
      <c r="K37" s="234" t="s">
        <v>323</v>
      </c>
      <c r="L37" s="210">
        <v>19.18</v>
      </c>
      <c r="M37" s="210"/>
      <c r="N37" s="210"/>
      <c r="O37" s="210"/>
      <c r="P37" s="210">
        <v>5794549</v>
      </c>
      <c r="Q37" s="210">
        <v>25559</v>
      </c>
      <c r="R37" s="210">
        <v>3.3434300000000001E-3</v>
      </c>
      <c r="S37" s="188">
        <v>17</v>
      </c>
      <c r="T37" s="210">
        <v>30685.4</v>
      </c>
      <c r="U37" s="188">
        <v>2871013083.9280005</v>
      </c>
      <c r="V37" s="188">
        <v>0</v>
      </c>
      <c r="W37" s="235">
        <v>1.0000000000000001E-43</v>
      </c>
    </row>
    <row r="38" spans="1:33" ht="15" thickBot="1">
      <c r="E38" s="524" t="s">
        <v>324</v>
      </c>
      <c r="F38" s="524"/>
      <c r="G38" s="229"/>
      <c r="K38" s="234" t="s">
        <v>325</v>
      </c>
      <c r="L38" s="210">
        <v>30.06</v>
      </c>
      <c r="M38" s="210"/>
      <c r="N38" s="210"/>
      <c r="O38" s="210"/>
      <c r="P38" s="210">
        <v>6836527</v>
      </c>
      <c r="Q38" s="210">
        <v>24764</v>
      </c>
      <c r="R38" s="210">
        <v>3.411E-3</v>
      </c>
      <c r="S38" s="188">
        <v>16</v>
      </c>
      <c r="T38" s="210">
        <v>60189</v>
      </c>
      <c r="U38" s="188">
        <v>4498316936.6079998</v>
      </c>
      <c r="V38" s="188">
        <v>0</v>
      </c>
      <c r="W38" s="235">
        <v>1.0000000000000001E-43</v>
      </c>
    </row>
    <row r="39" spans="1:33" ht="15" thickBot="1">
      <c r="A39" s="215" t="s">
        <v>139</v>
      </c>
      <c r="B39" s="216">
        <f>0.3048/12</f>
        <v>2.5400000000000002E-2</v>
      </c>
      <c r="C39" s="217" t="s">
        <v>32</v>
      </c>
      <c r="E39" s="211"/>
      <c r="F39" s="241" t="s">
        <v>146</v>
      </c>
      <c r="G39" s="209"/>
      <c r="K39" s="242" t="s">
        <v>326</v>
      </c>
      <c r="L39" s="243">
        <v>39.44</v>
      </c>
      <c r="M39" s="243"/>
      <c r="N39" s="243"/>
      <c r="O39" s="243"/>
      <c r="P39" s="243">
        <v>971.78</v>
      </c>
      <c r="Q39" s="243">
        <v>1195</v>
      </c>
      <c r="R39" s="243"/>
      <c r="S39" s="222"/>
      <c r="T39" s="243"/>
      <c r="U39" s="222">
        <v>5906460340.7920008</v>
      </c>
      <c r="V39" s="244">
        <v>0</v>
      </c>
      <c r="W39" s="235">
        <v>1.0000000000000001E-43</v>
      </c>
    </row>
    <row r="40" spans="1:33" ht="15" thickBot="1">
      <c r="A40" s="215" t="s">
        <v>327</v>
      </c>
      <c r="B40" s="245">
        <v>57.2958</v>
      </c>
      <c r="C40" s="246" t="s">
        <v>21</v>
      </c>
      <c r="E40" s="211"/>
      <c r="F40" s="210" t="s">
        <v>131</v>
      </c>
      <c r="G40" s="192" t="s">
        <v>133</v>
      </c>
    </row>
    <row r="41" spans="1:33">
      <c r="E41" s="211" t="s">
        <v>118</v>
      </c>
      <c r="F41" s="237">
        <v>0.2</v>
      </c>
      <c r="G41" s="238">
        <v>0.8</v>
      </c>
    </row>
    <row r="42" spans="1:33">
      <c r="E42" s="211" t="s">
        <v>7</v>
      </c>
      <c r="F42" s="237">
        <v>0.01</v>
      </c>
      <c r="G42" s="238">
        <v>0.05</v>
      </c>
      <c r="T42" s="193"/>
      <c r="U42" s="193"/>
    </row>
    <row r="43" spans="1:33">
      <c r="E43" s="211" t="s">
        <v>147</v>
      </c>
      <c r="F43" s="237">
        <v>0.05</v>
      </c>
      <c r="G43" s="238">
        <v>0.15</v>
      </c>
      <c r="M43" s="193"/>
      <c r="N43" s="193"/>
      <c r="O43" s="193"/>
      <c r="P43" s="193"/>
      <c r="T43" s="193"/>
      <c r="U43" s="193"/>
    </row>
    <row r="44" spans="1:33" ht="15" thickBot="1">
      <c r="E44" s="211" t="s">
        <v>116</v>
      </c>
      <c r="F44" s="237">
        <v>0.04</v>
      </c>
      <c r="G44" s="238">
        <v>0.15</v>
      </c>
      <c r="M44" s="193"/>
      <c r="N44" s="193"/>
      <c r="O44" s="193"/>
      <c r="P44" s="193"/>
      <c r="T44" s="193"/>
      <c r="U44" s="193"/>
    </row>
    <row r="45" spans="1:33" ht="15" thickBot="1">
      <c r="E45" s="211" t="s">
        <v>148</v>
      </c>
      <c r="F45" s="237">
        <v>0.04</v>
      </c>
      <c r="G45" s="238">
        <v>0.1</v>
      </c>
      <c r="M45" s="193"/>
      <c r="N45" s="193"/>
      <c r="O45" s="193"/>
      <c r="P45" s="193"/>
      <c r="R45" s="525" t="s">
        <v>328</v>
      </c>
      <c r="S45" s="518" t="s">
        <v>329</v>
      </c>
      <c r="T45" s="518" t="s">
        <v>330</v>
      </c>
      <c r="U45" s="518" t="s">
        <v>331</v>
      </c>
      <c r="V45" s="518" t="s">
        <v>332</v>
      </c>
      <c r="W45" s="518" t="s">
        <v>333</v>
      </c>
      <c r="X45" s="520" t="s">
        <v>334</v>
      </c>
      <c r="Y45" s="521"/>
      <c r="Z45" s="520" t="s">
        <v>335</v>
      </c>
      <c r="AA45" s="522"/>
      <c r="AE45" s="247"/>
      <c r="AF45" s="248" t="s">
        <v>336</v>
      </c>
      <c r="AG45" s="249"/>
    </row>
    <row r="46" spans="1:33" ht="84.75" thickBot="1">
      <c r="E46" s="211" t="s">
        <v>145</v>
      </c>
      <c r="F46" s="237">
        <v>0.01</v>
      </c>
      <c r="G46" s="238">
        <v>0.05</v>
      </c>
      <c r="M46" s="193"/>
      <c r="N46" s="193"/>
      <c r="O46" s="193"/>
      <c r="P46" s="193"/>
      <c r="R46" s="526"/>
      <c r="S46" s="519"/>
      <c r="T46" s="519"/>
      <c r="U46" s="519"/>
      <c r="V46" s="519"/>
      <c r="W46" s="519"/>
      <c r="X46" s="250" t="s">
        <v>337</v>
      </c>
      <c r="Y46" s="250" t="s">
        <v>338</v>
      </c>
      <c r="Z46" s="250" t="s">
        <v>337</v>
      </c>
      <c r="AA46" s="251" t="s">
        <v>338</v>
      </c>
      <c r="AE46" s="252" t="s">
        <v>339</v>
      </c>
      <c r="AF46" s="253">
        <v>86400</v>
      </c>
      <c r="AG46" s="254" t="s">
        <v>41</v>
      </c>
    </row>
    <row r="47" spans="1:33">
      <c r="E47" s="211" t="s">
        <v>117</v>
      </c>
      <c r="F47" s="237">
        <v>0.05</v>
      </c>
      <c r="G47" s="238">
        <v>0.3</v>
      </c>
      <c r="M47" s="193"/>
      <c r="N47" s="193"/>
      <c r="O47" s="193"/>
      <c r="P47" s="193"/>
      <c r="R47" s="255" t="s">
        <v>312</v>
      </c>
      <c r="S47" s="256">
        <v>0.38709893000000001</v>
      </c>
      <c r="T47" s="257">
        <f>(2*PI()*SQRT((S47*Constants!$AF$47)^3/Constants!$AF$48))/(Constants!$AF$46)</f>
        <v>87.969350032590356</v>
      </c>
      <c r="U47" s="258">
        <f>1/ABS(1/$T$49-1/T47)</f>
        <v>115.87758071508175</v>
      </c>
      <c r="V47" s="257">
        <f>(PI()*SQRT(((S47*Constants!$AF$47+$S$49*Constants!$AF$47)/2)^3/Constants!$AF$48))/(Constants!$AF$46)</f>
        <v>105.48352743700951</v>
      </c>
      <c r="W47" s="259">
        <v>36934</v>
      </c>
      <c r="X47" s="257">
        <f>-(180-V47*(360/T47))/((360/$T$49)-(360/T47))</f>
        <v>-81.009331461765981</v>
      </c>
      <c r="Y47" s="257">
        <f>(180-V47*(360/$T$49))/((360/T47)-(360/$T$49))</f>
        <v>24.474195975243532</v>
      </c>
      <c r="Z47" s="257">
        <f>-(180-V47*(360/$T$49))/((360/T47)-(360/$T$49))</f>
        <v>-24.474195975243532</v>
      </c>
      <c r="AA47" s="260">
        <f>(180-V47*(360/T47))/((360/$T$49)-(360/T47))</f>
        <v>81.009331461765981</v>
      </c>
      <c r="AE47" s="261" t="s">
        <v>340</v>
      </c>
      <c r="AF47" s="262">
        <v>149597870700</v>
      </c>
      <c r="AG47" s="254" t="s">
        <v>32</v>
      </c>
    </row>
    <row r="48" spans="1:33" ht="15" thickBot="1">
      <c r="E48" s="221" t="s">
        <v>143</v>
      </c>
      <c r="F48" s="240">
        <v>0</v>
      </c>
      <c r="G48" s="263">
        <v>0</v>
      </c>
      <c r="M48" s="193"/>
      <c r="N48" s="193"/>
      <c r="O48" s="193"/>
      <c r="P48" s="193"/>
      <c r="R48" s="255" t="s">
        <v>314</v>
      </c>
      <c r="S48" s="256">
        <v>0.72332198999999997</v>
      </c>
      <c r="T48" s="257">
        <f>(2*PI()*SQRT((S48*Constants!$AF$47)^3/Constants!$AF$48))/(Constants!$AF$46)</f>
        <v>224.69630437900872</v>
      </c>
      <c r="U48" s="258">
        <f>1/ABS(1/$T$49-1/T48)</f>
        <v>583.88949029003663</v>
      </c>
      <c r="V48" s="257">
        <f>(PI()*SQRT(((S48*Constants!$AF$47+$S$49*Constants!$AF$47)/2)^3/Constants!$AF$48))/(Constants!$AF$46)</f>
        <v>146.07406795499011</v>
      </c>
      <c r="W48" s="259">
        <v>36979</v>
      </c>
      <c r="X48" s="257">
        <f>-(180-V48*(360/T48))/((360/$T$49)-(360/T48))</f>
        <v>-87.639215163317331</v>
      </c>
      <c r="Y48" s="257">
        <f>(180-V48*(360/$T$49))/((360/T48)-(360/$T$49))</f>
        <v>58.434852791672817</v>
      </c>
      <c r="Z48" s="257">
        <f>-(180-V48*(360/$T$49))/((360/T48)-(360/$T$49))</f>
        <v>-58.434852791672817</v>
      </c>
      <c r="AA48" s="260">
        <f>(180-V48*(360/T48))/((360/$T$49)-(360/T48))</f>
        <v>87.639215163317331</v>
      </c>
      <c r="AE48" s="264" t="s">
        <v>341</v>
      </c>
      <c r="AF48" s="262">
        <v>1.3271244004099999E+20</v>
      </c>
      <c r="AG48" s="254" t="s">
        <v>342</v>
      </c>
    </row>
    <row r="49" spans="5:44">
      <c r="M49" s="193"/>
      <c r="N49" s="193"/>
      <c r="O49" s="193"/>
      <c r="P49" s="193"/>
      <c r="R49" s="255" t="s">
        <v>316</v>
      </c>
      <c r="S49" s="256">
        <f>Constants!$AF$49</f>
        <v>1.00000011</v>
      </c>
      <c r="T49" s="257">
        <f>Constants!$AF$50</f>
        <v>365.25695859501076</v>
      </c>
      <c r="U49" s="258" t="s">
        <v>223</v>
      </c>
      <c r="V49" s="257" t="s">
        <v>223</v>
      </c>
      <c r="W49" s="259" t="s">
        <v>223</v>
      </c>
      <c r="X49" s="257" t="s">
        <v>223</v>
      </c>
      <c r="Y49" s="257" t="s">
        <v>223</v>
      </c>
      <c r="Z49" s="257" t="s">
        <v>223</v>
      </c>
      <c r="AA49" s="260" t="s">
        <v>223</v>
      </c>
      <c r="AE49" s="261" t="s">
        <v>343</v>
      </c>
      <c r="AF49" s="265">
        <v>1.00000011</v>
      </c>
      <c r="AG49" s="254" t="s">
        <v>300</v>
      </c>
    </row>
    <row r="50" spans="5:44" ht="15" thickBot="1">
      <c r="M50" s="193"/>
      <c r="N50" s="193"/>
      <c r="O50" s="193"/>
      <c r="P50" s="193"/>
      <c r="R50" s="255" t="s">
        <v>320</v>
      </c>
      <c r="S50" s="256">
        <v>1.52366231</v>
      </c>
      <c r="T50" s="257">
        <f>(2*PI()*SQRT((S50*Constants!$AF$47)^3/Constants!$AF$48))/(Constants!$AF$46)</f>
        <v>686.96010146414244</v>
      </c>
      <c r="U50" s="258">
        <f t="shared" ref="U50:U58" si="0">1/ABS(1/$T$49-1/T50)</f>
        <v>779.96427109506135</v>
      </c>
      <c r="V50" s="257">
        <f>(PI()*SQRT(((S50*Constants!$AF$47+$S$49*Constants!$AF$47)/2)^3/Constants!$AF$48))/(Constants!$AF$46)</f>
        <v>258.86320786537374</v>
      </c>
      <c r="W50" s="259">
        <v>37055</v>
      </c>
      <c r="X50" s="257">
        <f t="shared" ref="X50:X58" si="1">-(180-V50*(360/T50))/((360/$T$49)-(360/T50))</f>
        <v>-96.072703535802034</v>
      </c>
      <c r="Y50" s="257">
        <f t="shared" ref="Y50:Y58" si="2">(180-V50*(360/$T$49))/((360/T50)-(360/$T$49))</f>
        <v>162.79050432957169</v>
      </c>
      <c r="Z50" s="257">
        <f t="shared" ref="Z50:Z58" si="3">-(180-V50*(360/$T$49))/((360/T50)-(360/$T$49))</f>
        <v>-162.79050432957169</v>
      </c>
      <c r="AA50" s="260">
        <f t="shared" ref="AA50:AA58" si="4">(180-V50*(360/T50))/((360/$T$49)-(360/T50))</f>
        <v>96.072703535802034</v>
      </c>
      <c r="AE50" s="266" t="s">
        <v>344</v>
      </c>
      <c r="AF50" s="267">
        <f>(2*PI()*SQRT((AF49*AF47)^3/AF48))/AF46</f>
        <v>365.25695859501076</v>
      </c>
      <c r="AG50" s="268" t="s">
        <v>278</v>
      </c>
    </row>
    <row r="51" spans="5:44">
      <c r="E51" s="516" t="s">
        <v>345</v>
      </c>
      <c r="F51" s="517"/>
      <c r="G51" s="195"/>
      <c r="H51" s="195"/>
      <c r="I51" s="195"/>
      <c r="J51" s="195"/>
      <c r="K51" s="195"/>
      <c r="L51" s="195"/>
      <c r="M51" s="269"/>
      <c r="N51" s="193"/>
      <c r="O51" s="193"/>
      <c r="P51" s="193"/>
      <c r="R51" s="255" t="s">
        <v>346</v>
      </c>
      <c r="S51" s="256">
        <v>2.3619373000000001</v>
      </c>
      <c r="T51" s="257">
        <f>(2*PI()*SQRT((S51*Constants!$AF$47)^3/Constants!$AF$48))/(Constants!$AF$46)</f>
        <v>1325.870090826832</v>
      </c>
      <c r="U51" s="258">
        <f t="shared" si="0"/>
        <v>504.13976305148924</v>
      </c>
      <c r="V51" s="257">
        <f>(PI()*SQRT(((S51*Constants!$AF$47+$S$49*Constants!$AF$47)/2)^3/Constants!$AF$48))/(Constants!$AF$46)</f>
        <v>398.02272932952252</v>
      </c>
      <c r="W51" s="259">
        <v>37229.789385077936</v>
      </c>
      <c r="X51" s="257">
        <f t="shared" si="1"/>
        <v>-100.72844480311778</v>
      </c>
      <c r="Y51" s="257">
        <f t="shared" si="2"/>
        <v>297.29428452640474</v>
      </c>
      <c r="Z51" s="257">
        <f t="shared" si="3"/>
        <v>-297.29428452640474</v>
      </c>
      <c r="AA51" s="260">
        <f t="shared" si="4"/>
        <v>100.72844480311778</v>
      </c>
    </row>
    <row r="52" spans="5:44">
      <c r="E52" s="211"/>
      <c r="K52" s="210" t="s">
        <v>149</v>
      </c>
      <c r="M52" s="214"/>
      <c r="N52" s="193"/>
      <c r="O52" s="193"/>
      <c r="P52" s="193"/>
      <c r="R52" s="255" t="s">
        <v>347</v>
      </c>
      <c r="S52" s="256">
        <v>2.7657232</v>
      </c>
      <c r="T52" s="257">
        <f>(2*PI()*SQRT((S52*Constants!$AF$47)^3/Constants!$AF$48))/(Constants!$AF$46)</f>
        <v>1680.0085655681798</v>
      </c>
      <c r="U52" s="258">
        <f t="shared" si="0"/>
        <v>466.73060965919996</v>
      </c>
      <c r="V52" s="257">
        <f>(PI()*SQRT(((S52*Constants!$AF$47+$S$49*Constants!$AF$47)/2)^3/Constants!$AF$48))/(Constants!$AF$46)</f>
        <v>471.84140424157761</v>
      </c>
      <c r="W52" s="259">
        <v>37068.853999999999</v>
      </c>
      <c r="X52" s="257">
        <f t="shared" si="1"/>
        <v>-102.28095753661755</v>
      </c>
      <c r="Y52" s="257">
        <f t="shared" si="2"/>
        <v>369.5604467049601</v>
      </c>
      <c r="Z52" s="257">
        <f t="shared" si="3"/>
        <v>-369.5604467049601</v>
      </c>
      <c r="AA52" s="260">
        <f t="shared" si="4"/>
        <v>102.28095753661755</v>
      </c>
    </row>
    <row r="53" spans="5:44">
      <c r="E53" s="211"/>
      <c r="F53" s="210" t="s">
        <v>150</v>
      </c>
      <c r="G53" s="210" t="s">
        <v>151</v>
      </c>
      <c r="H53" s="210" t="s">
        <v>152</v>
      </c>
      <c r="I53" s="210" t="s">
        <v>153</v>
      </c>
      <c r="K53" s="210" t="s">
        <v>154</v>
      </c>
      <c r="L53" s="210" t="s">
        <v>155</v>
      </c>
      <c r="M53" s="192" t="s">
        <v>156</v>
      </c>
      <c r="N53" s="193"/>
      <c r="O53" s="193"/>
      <c r="P53" s="193"/>
      <c r="R53" s="255" t="s">
        <v>321</v>
      </c>
      <c r="S53" s="256">
        <v>5.2033630100000003</v>
      </c>
      <c r="T53" s="257">
        <f>(2*PI()*SQRT((S53*Constants!$AF$47)^3/Constants!$AF$48))/(Constants!$AF$46)</f>
        <v>4335.3544947561722</v>
      </c>
      <c r="U53" s="258">
        <f t="shared" si="0"/>
        <v>398.86133344648584</v>
      </c>
      <c r="V53" s="257">
        <f>(PI()*SQRT(((S53*Constants!$AF$47+$S$49*Constants!$AF$47)/2)^3/Constants!$AF$48))/(Constants!$AF$46)</f>
        <v>997.61792386016691</v>
      </c>
      <c r="W53" s="259">
        <v>37257</v>
      </c>
      <c r="X53" s="257">
        <f t="shared" si="1"/>
        <v>-107.64781116615426</v>
      </c>
      <c r="Y53" s="257">
        <f t="shared" si="2"/>
        <v>889.97011269401264</v>
      </c>
      <c r="Z53" s="257">
        <f t="shared" si="3"/>
        <v>-889.97011269401264</v>
      </c>
      <c r="AA53" s="260">
        <f t="shared" si="4"/>
        <v>107.64781116615426</v>
      </c>
    </row>
    <row r="54" spans="5:44">
      <c r="E54" s="211"/>
      <c r="M54" s="214"/>
      <c r="N54" s="193"/>
      <c r="O54" s="193"/>
      <c r="P54" s="193"/>
      <c r="R54" s="255" t="s">
        <v>322</v>
      </c>
      <c r="S54" s="256">
        <v>9.5370703199999998</v>
      </c>
      <c r="T54" s="257">
        <f>(2*PI()*SQRT((S54*Constants!$AF$47)^3/Constants!$AF$48))/(Constants!$AF$46)</f>
        <v>10757.736541389115</v>
      </c>
      <c r="U54" s="258">
        <f t="shared" si="0"/>
        <v>378.09438057301077</v>
      </c>
      <c r="V54" s="257">
        <f>(PI()*SQRT(((S54*Constants!$AF$47+$S$49*Constants!$AF$47)/2)^3/Constants!$AF$48))/(Constants!$AF$46)</f>
        <v>2208.5297919799127</v>
      </c>
      <c r="W54" s="259">
        <v>37228</v>
      </c>
      <c r="X54" s="257">
        <f t="shared" si="1"/>
        <v>-111.42559205689675</v>
      </c>
      <c r="Y54" s="257">
        <f t="shared" si="2"/>
        <v>2097.104199923016</v>
      </c>
      <c r="Z54" s="257">
        <f t="shared" si="3"/>
        <v>-2097.104199923016</v>
      </c>
      <c r="AA54" s="260">
        <f t="shared" si="4"/>
        <v>111.42559205689675</v>
      </c>
    </row>
    <row r="55" spans="5:44">
      <c r="E55" s="211" t="s">
        <v>157</v>
      </c>
      <c r="F55" s="228">
        <v>2</v>
      </c>
      <c r="G55" s="228">
        <v>3.5</v>
      </c>
      <c r="H55" s="228">
        <v>2</v>
      </c>
      <c r="I55" s="228">
        <v>10</v>
      </c>
      <c r="K55" s="270">
        <v>0.5</v>
      </c>
      <c r="L55" s="228">
        <f>F55+(G55-F55)*K55</f>
        <v>2.75</v>
      </c>
      <c r="M55" s="271">
        <f>H55+(I55-H55)*K55</f>
        <v>6</v>
      </c>
      <c r="N55" s="193"/>
      <c r="O55" s="193"/>
      <c r="P55" s="193"/>
      <c r="R55" s="255" t="s">
        <v>323</v>
      </c>
      <c r="S55" s="256">
        <v>19.191263930000002</v>
      </c>
      <c r="T55" s="257">
        <f>(2*PI()*SQRT((S55*Constants!$AF$47)^3/Constants!$AF$48))/(Constants!$AF$46)</f>
        <v>30708.159954085699</v>
      </c>
      <c r="U55" s="258">
        <f t="shared" si="0"/>
        <v>369.65379056003087</v>
      </c>
      <c r="V55" s="257">
        <f>(PI()*SQRT(((S55*Constants!$AF$47+$S$49*Constants!$AF$47)/2)^3/Constants!$AF$48))/(Constants!$AF$46)</f>
        <v>5858.2607726300312</v>
      </c>
      <c r="W55" s="259">
        <v>37118</v>
      </c>
      <c r="X55" s="257">
        <f t="shared" si="1"/>
        <v>-114.30725802627941</v>
      </c>
      <c r="Y55" s="257">
        <f t="shared" si="2"/>
        <v>5743.9535146037515</v>
      </c>
      <c r="Z55" s="257">
        <f t="shared" si="3"/>
        <v>-5743.9535146037515</v>
      </c>
      <c r="AA55" s="260">
        <f t="shared" si="4"/>
        <v>114.30725802627941</v>
      </c>
    </row>
    <row r="56" spans="5:44">
      <c r="E56" s="211" t="s">
        <v>158</v>
      </c>
      <c r="F56" s="228">
        <v>0.2</v>
      </c>
      <c r="G56" s="228">
        <v>1</v>
      </c>
      <c r="H56" s="228">
        <v>0</v>
      </c>
      <c r="I56" s="228">
        <v>0.2</v>
      </c>
      <c r="K56" s="270">
        <v>0.5</v>
      </c>
      <c r="L56" s="228">
        <f>F56+(G56-F56)*K56</f>
        <v>0.60000000000000009</v>
      </c>
      <c r="M56" s="271">
        <f>H56+(I56-H56)*K56</f>
        <v>0.1</v>
      </c>
      <c r="N56" s="193"/>
      <c r="O56" s="193"/>
      <c r="P56" s="193"/>
      <c r="R56" s="255" t="s">
        <v>325</v>
      </c>
      <c r="S56" s="256">
        <v>30.068963480000001</v>
      </c>
      <c r="T56" s="257">
        <f>(2*PI()*SQRT((S56*Constants!$AF$47)^3/Constants!$AF$48))/(Constants!$AF$46)</f>
        <v>60224.903568795424</v>
      </c>
      <c r="U56" s="258">
        <f t="shared" si="0"/>
        <v>367.48571625325167</v>
      </c>
      <c r="V56" s="257">
        <f>(PI()*SQRT(((S56*Constants!$AF$47+$S$49*Constants!$AF$47)/2)^3/Constants!$AF$48))/(Constants!$AF$46)</f>
        <v>11181.848064979798</v>
      </c>
      <c r="W56" s="259">
        <v>37072</v>
      </c>
      <c r="X56" s="257">
        <f t="shared" si="1"/>
        <v>-115.51245505922701</v>
      </c>
      <c r="Y56" s="257">
        <f t="shared" si="2"/>
        <v>11066.335609920572</v>
      </c>
      <c r="Z56" s="257">
        <f t="shared" si="3"/>
        <v>-11066.335609920572</v>
      </c>
      <c r="AA56" s="260">
        <f t="shared" si="4"/>
        <v>115.51245505922701</v>
      </c>
    </row>
    <row r="57" spans="5:44">
      <c r="E57" s="211" t="s">
        <v>159</v>
      </c>
      <c r="F57" s="228">
        <v>5</v>
      </c>
      <c r="G57" s="228">
        <v>50</v>
      </c>
      <c r="H57" s="228">
        <v>2</v>
      </c>
      <c r="I57" s="228">
        <v>20</v>
      </c>
      <c r="K57" s="270">
        <v>0.5</v>
      </c>
      <c r="L57" s="228">
        <f>F57+(G57-F57)*K57</f>
        <v>27.5</v>
      </c>
      <c r="M57" s="271">
        <f>H57+(I57-H57)*K57</f>
        <v>11</v>
      </c>
      <c r="N57" s="193"/>
      <c r="O57" s="193"/>
      <c r="P57" s="193"/>
      <c r="R57" s="255" t="s">
        <v>348</v>
      </c>
      <c r="S57" s="256">
        <v>39.481686770000003</v>
      </c>
      <c r="T57" s="257">
        <f>(2*PI()*SQRT((S57*Constants!$AF$47)^3/Constants!$AF$48))/(Constants!$AF$46)</f>
        <v>90613.305813298706</v>
      </c>
      <c r="U57" s="258">
        <f t="shared" si="0"/>
        <v>366.73524701780946</v>
      </c>
      <c r="V57" s="257">
        <f>(PI()*SQRT(((S57*Constants!$AF$47+$S$49*Constants!$AF$47)/2)^3/Constants!$AF$48))/(Constants!$AF$46)</f>
        <v>16630.731029772731</v>
      </c>
      <c r="W57" s="259">
        <v>37044</v>
      </c>
      <c r="X57" s="257">
        <f t="shared" si="1"/>
        <v>-116.05879731005602</v>
      </c>
      <c r="Y57" s="257">
        <f t="shared" si="2"/>
        <v>16514.672232462675</v>
      </c>
      <c r="Z57" s="257">
        <f t="shared" si="3"/>
        <v>-16514.672232462675</v>
      </c>
      <c r="AA57" s="260">
        <f t="shared" si="4"/>
        <v>116.05879731005602</v>
      </c>
    </row>
    <row r="58" spans="5:44" ht="15" thickBot="1">
      <c r="E58" s="211" t="s">
        <v>160</v>
      </c>
      <c r="F58" s="228">
        <v>0.2</v>
      </c>
      <c r="G58" s="228">
        <v>1.5</v>
      </c>
      <c r="H58" s="228">
        <v>0.2</v>
      </c>
      <c r="I58" s="228">
        <v>1</v>
      </c>
      <c r="K58" s="270">
        <v>0.5</v>
      </c>
      <c r="L58" s="228">
        <f>F58+(G58-F58)*K58</f>
        <v>0.85000000000000009</v>
      </c>
      <c r="M58" s="271">
        <f>H58+(I58-H58)*K58</f>
        <v>0.60000000000000009</v>
      </c>
      <c r="N58" s="193"/>
      <c r="O58" s="193"/>
      <c r="P58" s="193"/>
      <c r="R58" s="272" t="s">
        <v>349</v>
      </c>
      <c r="S58" s="273">
        <v>3</v>
      </c>
      <c r="T58" s="274">
        <f>(2*PI()*SQRT((S58*Constants!$AF$47)^3/Constants!$AF$48))/(Constants!$AF$46)</f>
        <v>1897.9305171553774</v>
      </c>
      <c r="U58" s="275">
        <f t="shared" si="0"/>
        <v>452.30266056914235</v>
      </c>
      <c r="V58" s="274">
        <f>(PI()*SQRT(((S58*Constants!$AF$47+$S$49*Constants!$AF$47)/2)^3/Constants!$AF$48))/(Constants!$AF$46)</f>
        <v>516.55128067299165</v>
      </c>
      <c r="W58" s="276">
        <v>37408</v>
      </c>
      <c r="X58" s="274">
        <f t="shared" si="1"/>
        <v>-103.05013324024083</v>
      </c>
      <c r="Y58" s="274">
        <f t="shared" si="2"/>
        <v>413.50114743275083</v>
      </c>
      <c r="Z58" s="274">
        <f t="shared" si="3"/>
        <v>-413.50114743275083</v>
      </c>
      <c r="AA58" s="277">
        <f t="shared" si="4"/>
        <v>103.05013324024083</v>
      </c>
    </row>
    <row r="59" spans="5:44" ht="15" thickBot="1">
      <c r="E59" s="221" t="s">
        <v>161</v>
      </c>
      <c r="F59" s="278">
        <v>0.8</v>
      </c>
      <c r="G59" s="278">
        <v>3.5</v>
      </c>
      <c r="H59" s="278">
        <v>5</v>
      </c>
      <c r="I59" s="278">
        <v>20</v>
      </c>
      <c r="J59" s="222"/>
      <c r="K59" s="239">
        <v>0.5</v>
      </c>
      <c r="L59" s="278">
        <f>F59+(G59-F59)*K59</f>
        <v>2.1500000000000004</v>
      </c>
      <c r="M59" s="279">
        <f>H59+(I59-H59)*K59</f>
        <v>12.5</v>
      </c>
      <c r="N59" s="193"/>
      <c r="O59" s="193"/>
      <c r="P59" s="193"/>
    </row>
    <row r="60" spans="5:44">
      <c r="M60" s="193"/>
      <c r="N60" s="193"/>
      <c r="O60" s="193"/>
      <c r="P60" s="193"/>
    </row>
    <row r="61" spans="5:44" ht="15" thickBot="1">
      <c r="M61" s="193"/>
      <c r="N61" s="193"/>
      <c r="O61" s="193"/>
      <c r="P61" s="193"/>
    </row>
    <row r="62" spans="5:44">
      <c r="E62" s="280" t="s">
        <v>350</v>
      </c>
      <c r="F62" s="281"/>
      <c r="G62" s="281"/>
      <c r="H62" s="282"/>
      <c r="I62" s="282"/>
      <c r="J62" s="282"/>
      <c r="K62" s="282"/>
      <c r="L62" s="282"/>
      <c r="M62" s="283"/>
    </row>
    <row r="63" spans="5:44" ht="15" thickBot="1">
      <c r="E63" s="211"/>
      <c r="M63" s="212"/>
    </row>
    <row r="64" spans="5:44">
      <c r="E64" s="211"/>
      <c r="F64" s="210" t="s">
        <v>162</v>
      </c>
      <c r="G64" s="210" t="s">
        <v>163</v>
      </c>
      <c r="H64" s="210" t="s">
        <v>164</v>
      </c>
      <c r="I64" s="210"/>
      <c r="J64" s="210"/>
      <c r="K64" s="210" t="s">
        <v>162</v>
      </c>
      <c r="L64" s="210"/>
      <c r="M64" s="192" t="s">
        <v>164</v>
      </c>
      <c r="T64" s="284" t="s">
        <v>162</v>
      </c>
      <c r="U64" s="231" t="s">
        <v>163</v>
      </c>
      <c r="V64" s="195"/>
      <c r="W64" s="195"/>
      <c r="X64" s="231" t="s">
        <v>165</v>
      </c>
      <c r="Y64" s="231"/>
      <c r="Z64" s="231"/>
      <c r="AA64" s="231"/>
      <c r="AB64" s="231" t="s">
        <v>166</v>
      </c>
      <c r="AC64" s="231"/>
      <c r="AD64" s="231"/>
      <c r="AE64" s="231" t="s">
        <v>167</v>
      </c>
      <c r="AF64" s="195"/>
      <c r="AG64" s="231" t="s">
        <v>162</v>
      </c>
      <c r="AH64" s="231"/>
      <c r="AI64" s="231"/>
      <c r="AJ64" s="195"/>
      <c r="AK64" s="231" t="s">
        <v>165</v>
      </c>
      <c r="AL64" s="231"/>
      <c r="AM64" s="231"/>
      <c r="AN64" s="231"/>
      <c r="AO64" s="231" t="s">
        <v>166</v>
      </c>
      <c r="AP64" s="231"/>
      <c r="AQ64" s="231"/>
      <c r="AR64" s="187" t="s">
        <v>167</v>
      </c>
    </row>
    <row r="65" spans="5:44">
      <c r="E65" s="211"/>
      <c r="F65" s="210" t="s">
        <v>117</v>
      </c>
      <c r="G65" s="210" t="s">
        <v>117</v>
      </c>
      <c r="H65" s="210" t="s">
        <v>168</v>
      </c>
      <c r="I65" s="210"/>
      <c r="J65" s="210"/>
      <c r="K65" s="210" t="s">
        <v>117</v>
      </c>
      <c r="L65" s="210" t="s">
        <v>169</v>
      </c>
      <c r="M65" s="192" t="s">
        <v>168</v>
      </c>
      <c r="T65" s="285" t="s">
        <v>117</v>
      </c>
      <c r="U65" s="210" t="s">
        <v>117</v>
      </c>
      <c r="AG65" s="210" t="s">
        <v>117</v>
      </c>
      <c r="AH65" s="210" t="s">
        <v>169</v>
      </c>
      <c r="AI65" s="210"/>
      <c r="AR65" s="212"/>
    </row>
    <row r="66" spans="5:44">
      <c r="E66" s="211" t="s">
        <v>170</v>
      </c>
      <c r="F66" s="188">
        <v>0.2</v>
      </c>
      <c r="G66" s="188">
        <v>10</v>
      </c>
      <c r="H66" s="286">
        <f>INDEX(MMULT(AA66:AC68,AE66:AE68),1,1)</f>
        <v>1.1829442382747484</v>
      </c>
      <c r="K66" s="188">
        <v>7</v>
      </c>
      <c r="L66" s="188">
        <v>1.1000000000000001</v>
      </c>
      <c r="M66" s="287">
        <f>INDEX(MMULT(AN66:AP68,AR66:AR68),1,1)</f>
        <v>0.93286813193897444</v>
      </c>
      <c r="T66" s="211">
        <f t="shared" ref="T66:U69" si="5">LOG(F66)</f>
        <v>-0.69897000433601875</v>
      </c>
      <c r="U66" s="188">
        <f t="shared" si="5"/>
        <v>1</v>
      </c>
      <c r="W66" s="188">
        <f>4</f>
        <v>4</v>
      </c>
      <c r="X66" s="188">
        <f>W67</f>
        <v>2.204119982655925</v>
      </c>
      <c r="Y66" s="188">
        <f>X67</f>
        <v>4.2812487254895908</v>
      </c>
      <c r="AA66" s="188">
        <f>INDEX(MINVERSE(W66:Y68),1,1)</f>
        <v>0.51014699027108712</v>
      </c>
      <c r="AB66" s="188">
        <f>INDEX(MINVERSE(W66:Y68),2)</f>
        <v>0.11058393226860654</v>
      </c>
      <c r="AC66" s="188">
        <f>INDEX(MINVERSE(W66:Y68),3)</f>
        <v>-0.29998916164614614</v>
      </c>
      <c r="AE66" s="188">
        <f>U66+U67+U68+U69</f>
        <v>6.0492180226701819</v>
      </c>
      <c r="AG66" s="188">
        <f t="shared" ref="AG66:AH69" si="6">LOG(K66)</f>
        <v>0.84509804001425681</v>
      </c>
      <c r="AH66" s="188">
        <f t="shared" si="6"/>
        <v>4.1392685158225077E-2</v>
      </c>
      <c r="AJ66" s="188">
        <f>4</f>
        <v>4</v>
      </c>
      <c r="AK66" s="188">
        <f>AJ67</f>
        <v>5.8662873390841952</v>
      </c>
      <c r="AL66" s="188">
        <f>AK67</f>
        <v>9.1869637512785118</v>
      </c>
      <c r="AN66" s="188">
        <f>INDEX(MINVERSE(AJ66:AL68),1,1)</f>
        <v>72.295517299365471</v>
      </c>
      <c r="AO66" s="188">
        <f>INDEX(MINVERSE(AJ66:AL68),2)</f>
        <v>-117.33151108467169</v>
      </c>
      <c r="AP66" s="188">
        <f>INDEX(MINVERSE(AJ66:AL68),3)</f>
        <v>43.552831989620259</v>
      </c>
      <c r="AR66" s="212">
        <f>AH66+AH67+AH68+AH69</f>
        <v>0.95763601562356471</v>
      </c>
    </row>
    <row r="67" spans="5:44">
      <c r="E67" s="211"/>
      <c r="F67" s="188">
        <v>2</v>
      </c>
      <c r="G67" s="188">
        <v>20</v>
      </c>
      <c r="H67" s="286">
        <f>INDEX(MMULT(AA66:AC68,AE66:AE68),2,1)</f>
        <v>0.35039787768968989</v>
      </c>
      <c r="K67" s="188">
        <v>30</v>
      </c>
      <c r="L67" s="188">
        <v>1.4</v>
      </c>
      <c r="M67" s="287">
        <f>INDEX(MMULT(AN66:AP68,AR66:AR68),2,1)</f>
        <v>-1.7328494292437142</v>
      </c>
      <c r="T67" s="211">
        <f t="shared" si="5"/>
        <v>0.3010299956639812</v>
      </c>
      <c r="U67" s="188">
        <f t="shared" si="5"/>
        <v>1.3010299956639813</v>
      </c>
      <c r="W67" s="188">
        <f>T66+T67+T68+T69</f>
        <v>2.204119982655925</v>
      </c>
      <c r="X67" s="188">
        <f>W68</f>
        <v>4.2812487254895908</v>
      </c>
      <c r="Y67" s="188">
        <f>T66^3+T67^3+T68^3+T69^3</f>
        <v>5.3264007461631149</v>
      </c>
      <c r="AA67" s="188">
        <f>INDEX(MINVERSE(W66:Y68),2,1)</f>
        <v>0.11058393226860654</v>
      </c>
      <c r="AB67" s="188">
        <f>INDEX(MINVERSE(W66:Y68),2,2)</f>
        <v>0.84895110258993822</v>
      </c>
      <c r="AC67" s="188">
        <f>INDEX(MINVERSE(W66:Y68),2,3)</f>
        <v>-0.54038575353412144</v>
      </c>
      <c r="AE67" s="188">
        <f>T66*U66+T67*U67+T68*U68+T69*U69</f>
        <v>4.7856905444280091</v>
      </c>
      <c r="AG67" s="188">
        <f t="shared" si="6"/>
        <v>1.4771212547196624</v>
      </c>
      <c r="AH67" s="188">
        <f t="shared" si="6"/>
        <v>0.14612803567823801</v>
      </c>
      <c r="AJ67" s="188">
        <f>AG66+AG67+AG68+AG69</f>
        <v>5.8662873390841952</v>
      </c>
      <c r="AK67" s="188">
        <f>AJ68</f>
        <v>9.1869637512785118</v>
      </c>
      <c r="AL67" s="188">
        <f>AG66^3+AG67^3+AG68^3+AG69^3</f>
        <v>15.011975835868084</v>
      </c>
      <c r="AN67" s="188">
        <f>INDEX(MINVERSE(AJ66:AL68),2,1)</f>
        <v>-117.33151108467169</v>
      </c>
      <c r="AO67" s="188">
        <f>INDEX(MINVERSE(AJ66:AL68),2,2)</f>
        <v>194.56416200674056</v>
      </c>
      <c r="AP67" s="188">
        <f>INDEX(MINVERSE(AJ66:AL68),2,3)</f>
        <v>-73.151832757308554</v>
      </c>
      <c r="AR67" s="212">
        <f>AG66*AH66+AG67*AH67+AG68*AH68+AG69*AH69</f>
        <v>1.6310342093601122</v>
      </c>
    </row>
    <row r="68" spans="5:44">
      <c r="E68" s="211"/>
      <c r="F68" s="188">
        <v>8</v>
      </c>
      <c r="G68" s="188">
        <v>40</v>
      </c>
      <c r="H68" s="286">
        <f>INDEX(MMULT(AA66:AC68,AE66:AE68),3,1)</f>
        <v>0.12732782896484807</v>
      </c>
      <c r="K68" s="188">
        <v>50</v>
      </c>
      <c r="L68" s="188">
        <v>1.9</v>
      </c>
      <c r="M68" s="287">
        <f>INDEX(MMULT(AN66:AP68,AR66:AR68),3,1)</f>
        <v>0.80457007944009717</v>
      </c>
      <c r="T68" s="211">
        <f t="shared" si="5"/>
        <v>0.90308998699194354</v>
      </c>
      <c r="U68" s="188">
        <f t="shared" si="5"/>
        <v>1.6020599913279623</v>
      </c>
      <c r="W68" s="188">
        <f>T66^2+T67^2+T68^2+T69^2</f>
        <v>4.2812487254895908</v>
      </c>
      <c r="X68" s="188">
        <f>Y67</f>
        <v>5.3264007461631149</v>
      </c>
      <c r="Y68" s="188">
        <f>T66^4+T67^4+T68^4+T69^4</f>
        <v>9.2439356010154867</v>
      </c>
      <c r="AA68" s="188">
        <f>INDEX(MINVERSE(W66:Y68),3,1)</f>
        <v>-0.29998916164614614</v>
      </c>
      <c r="AB68" s="188">
        <f>INDEX(MINVERSE(W66:Y68),3,2)</f>
        <v>-0.54038575353412133</v>
      </c>
      <c r="AC68" s="188">
        <f>INDEX(MINVERSE(W66:Y68),3,3)</f>
        <v>0.55848931879525177</v>
      </c>
      <c r="AE68" s="188">
        <f>U66*T66^2+U67*T67^2+U68*T68^2+U69*T69^2</f>
        <v>8.1078482807875343</v>
      </c>
      <c r="AG68" s="188">
        <f t="shared" si="6"/>
        <v>1.6989700043360187</v>
      </c>
      <c r="AH68" s="188">
        <f t="shared" si="6"/>
        <v>0.27875360095282892</v>
      </c>
      <c r="AJ68" s="188">
        <f>AG66^2+AG67^2+AG68^2+AG69^2</f>
        <v>9.1869637512785118</v>
      </c>
      <c r="AK68" s="188">
        <f>AL67</f>
        <v>15.011975835868084</v>
      </c>
      <c r="AL68" s="188">
        <f>AG66^4+AG67^4+AG68^4+AG69^4</f>
        <v>25.192426353383205</v>
      </c>
      <c r="AN68" s="188">
        <f>INDEX(MINVERSE(AJ66:AL68),3,1)</f>
        <v>43.552831989620259</v>
      </c>
      <c r="AO68" s="188">
        <f>INDEX(MINVERSE(AJ66:AL68),3,2)</f>
        <v>-73.151832757308654</v>
      </c>
      <c r="AP68" s="188">
        <f>INDEX(MINVERSE(AJ66:AL68),3,3)</f>
        <v>27.747833699795244</v>
      </c>
      <c r="AR68" s="212">
        <f>AH66*AG66^2+AH67*AG67^2+AH68*AG68^2+AH69*AG69^2</f>
        <v>2.8258044262718891</v>
      </c>
    </row>
    <row r="69" spans="5:44">
      <c r="E69" s="211"/>
      <c r="F69" s="188">
        <v>50</v>
      </c>
      <c r="G69" s="188">
        <v>140</v>
      </c>
      <c r="H69" s="286"/>
      <c r="K69" s="188">
        <v>70</v>
      </c>
      <c r="L69" s="188">
        <v>3.1</v>
      </c>
      <c r="M69" s="287"/>
      <c r="T69" s="211">
        <f t="shared" si="5"/>
        <v>1.6989700043360187</v>
      </c>
      <c r="U69" s="188">
        <f t="shared" si="5"/>
        <v>2.1461280356782382</v>
      </c>
      <c r="AG69" s="188">
        <f t="shared" si="6"/>
        <v>1.8450980400142569</v>
      </c>
      <c r="AH69" s="188">
        <f t="shared" si="6"/>
        <v>0.49136169383427269</v>
      </c>
      <c r="AR69" s="212"/>
    </row>
    <row r="70" spans="5:44">
      <c r="E70" s="211"/>
      <c r="H70" s="286"/>
      <c r="M70" s="287"/>
      <c r="T70" s="211"/>
      <c r="AR70" s="212"/>
    </row>
    <row r="71" spans="5:44">
      <c r="E71" s="211" t="s">
        <v>171</v>
      </c>
      <c r="F71" s="188">
        <v>1</v>
      </c>
      <c r="G71" s="188">
        <v>10</v>
      </c>
      <c r="H71" s="286">
        <f>INDEX(MMULT(AA71:AC73,AE71:AE73),1,1)</f>
        <v>1.0018770507054953</v>
      </c>
      <c r="K71" s="188">
        <v>1</v>
      </c>
      <c r="L71" s="188">
        <v>2</v>
      </c>
      <c r="M71" s="287">
        <f>INDEX(MMULT(AN71:AP73,AR71:AR73),1,1)</f>
        <v>0.30492967970573259</v>
      </c>
      <c r="O71" s="288"/>
      <c r="T71" s="211">
        <f t="shared" ref="T71:U74" si="7">LOG(F71)</f>
        <v>0</v>
      </c>
      <c r="U71" s="188">
        <f t="shared" si="7"/>
        <v>1</v>
      </c>
      <c r="W71" s="188">
        <f>4</f>
        <v>4</v>
      </c>
      <c r="X71" s="188">
        <f>W72</f>
        <v>4.0334237554869503</v>
      </c>
      <c r="Y71" s="188">
        <f>X72</f>
        <v>6.1172622037907569</v>
      </c>
      <c r="AA71" s="188">
        <f>INDEX(MINVERSE(W71:Y73),1,1)</f>
        <v>0.97478186774907949</v>
      </c>
      <c r="AB71" s="188">
        <f>INDEX(MINVERSE(W71:Y73),2)</f>
        <v>-1.5401004160574805</v>
      </c>
      <c r="AC71" s="188">
        <f>INDEX(MINVERSE(W71:Y73),3)</f>
        <v>0.54154130109257181</v>
      </c>
      <c r="AE71" s="188">
        <f>U71+U72+U73+U74</f>
        <v>6.0492180226701819</v>
      </c>
      <c r="AG71" s="188">
        <f t="shared" ref="AG71:AH74" si="8">LOG(K71)</f>
        <v>0</v>
      </c>
      <c r="AH71" s="188">
        <f t="shared" si="8"/>
        <v>0.3010299956639812</v>
      </c>
      <c r="AJ71" s="188">
        <f>4</f>
        <v>4</v>
      </c>
      <c r="AK71" s="188">
        <f>AJ72</f>
        <v>3.924279286061882</v>
      </c>
      <c r="AL71" s="188">
        <f>AK72</f>
        <v>5.7025851953554998</v>
      </c>
      <c r="AN71" s="188">
        <f>INDEX(MINVERSE(AJ71:AL73),1,1)</f>
        <v>0.9791790260008465</v>
      </c>
      <c r="AO71" s="188">
        <f>INDEX(MINVERSE(AJ71:AL73),2)</f>
        <v>-1.6042833840484394</v>
      </c>
      <c r="AP71" s="188">
        <f>INDEX(MINVERSE(AJ71:AL73),3)</f>
        <v>0.59252774544134124</v>
      </c>
      <c r="AR71" s="212">
        <f>AH71+AH72+AH73+AH74</f>
        <v>2.2253092817258628</v>
      </c>
    </row>
    <row r="72" spans="5:44">
      <c r="E72" s="211"/>
      <c r="F72" s="188">
        <v>6</v>
      </c>
      <c r="G72" s="188">
        <v>20</v>
      </c>
      <c r="H72" s="286">
        <f>INDEX(MMULT(AA71:AC73,AE71:AE73),2,1)</f>
        <v>0.23566263382873132</v>
      </c>
      <c r="K72" s="188">
        <v>6</v>
      </c>
      <c r="L72" s="188">
        <v>3</v>
      </c>
      <c r="M72" s="287">
        <f>INDEX(MMULT(AN71:AP73,AR71:AR73),2,1)</f>
        <v>0.13455113460149271</v>
      </c>
      <c r="O72" s="288"/>
      <c r="T72" s="211">
        <f t="shared" si="7"/>
        <v>0.77815125038364363</v>
      </c>
      <c r="U72" s="188">
        <f t="shared" si="7"/>
        <v>1.3010299956639813</v>
      </c>
      <c r="W72" s="188">
        <f>T71+T72+T73+T74</f>
        <v>4.0334237554869503</v>
      </c>
      <c r="X72" s="188">
        <f>W73</f>
        <v>6.1172622037907569</v>
      </c>
      <c r="Y72" s="188">
        <f>T71^3+T72^3+T73^3+T74^3</f>
        <v>10.136788666568179</v>
      </c>
      <c r="AA72" s="188">
        <f>INDEX(MINVERSE(W71:Y73),2,1)</f>
        <v>-1.5401004160574805</v>
      </c>
      <c r="AB72" s="188">
        <f>INDEX(MINVERSE(W71:Y73),2,2)</f>
        <v>5.2898664517637126</v>
      </c>
      <c r="AC72" s="188">
        <f>INDEX(MINVERSE(W71:Y73),2,3)</f>
        <v>-2.4808273440139752</v>
      </c>
      <c r="AE72" s="188">
        <f>T71*U71+T72*U72+T73*U73+T74*U74</f>
        <v>7.2907808595053387</v>
      </c>
      <c r="AG72" s="188">
        <f t="shared" si="8"/>
        <v>0.77815125038364363</v>
      </c>
      <c r="AH72" s="188">
        <f t="shared" si="8"/>
        <v>0.47712125471966244</v>
      </c>
      <c r="AJ72" s="188">
        <f>AG71+AG72+AG73+AG74</f>
        <v>3.924279286061882</v>
      </c>
      <c r="AK72" s="188">
        <f>AJ73</f>
        <v>5.7025851953554998</v>
      </c>
      <c r="AL72" s="188">
        <f>AG71^3+AG72^3+AG73^3+AG74^3</f>
        <v>8.9548392404746231</v>
      </c>
      <c r="AN72" s="188">
        <f>INDEX(MINVERSE(AJ71:AL73),2,1)</f>
        <v>-1.6042833840484394</v>
      </c>
      <c r="AO72" s="188">
        <f>INDEX(MINVERSE(AJ71:AL73),2,2)</f>
        <v>6.0493649449030098</v>
      </c>
      <c r="AP72" s="188">
        <f>INDEX(MINVERSE(AJ71:AL73),2,3)</f>
        <v>-3.0376159965178968</v>
      </c>
      <c r="AR72" s="212">
        <f>AG71*AH71+AG72*AH72+AG73*AH73+AG74*AH74</f>
        <v>2.7138593461017892</v>
      </c>
    </row>
    <row r="73" spans="5:44">
      <c r="E73" s="211"/>
      <c r="F73" s="188">
        <v>20</v>
      </c>
      <c r="G73" s="188">
        <v>40</v>
      </c>
      <c r="H73" s="286">
        <f>INDEX(MMULT(AA71:AC73,AE71:AE73),3,1)</f>
        <v>0.17837760062116992</v>
      </c>
      <c r="K73" s="188">
        <v>20</v>
      </c>
      <c r="L73" s="188">
        <v>4</v>
      </c>
      <c r="M73" s="287">
        <f>INDEX(MMULT(AN71:AP73,AR71:AR73),3,1)</f>
        <v>8.3746987744985013E-2</v>
      </c>
      <c r="T73" s="211">
        <f t="shared" si="7"/>
        <v>1.3010299956639813</v>
      </c>
      <c r="U73" s="188">
        <f t="shared" si="7"/>
        <v>1.6020599913279623</v>
      </c>
      <c r="W73" s="188">
        <f>T71^2+T72^2+T73^2+T74^2</f>
        <v>6.1172622037907569</v>
      </c>
      <c r="X73" s="188">
        <f>Y72</f>
        <v>10.136788666568179</v>
      </c>
      <c r="Y73" s="188">
        <f>T71^4+T72^4+T73^4+T74^4</f>
        <v>17.817064269853432</v>
      </c>
      <c r="AA73" s="188">
        <f>INDEX(MINVERSE(W71:Y73),3,1)</f>
        <v>0.54154130109257181</v>
      </c>
      <c r="AB73" s="188">
        <f>INDEX(MINVERSE(W71:Y73),3,2)</f>
        <v>-2.4808273440139748</v>
      </c>
      <c r="AC73" s="188">
        <f>INDEX(MINVERSE(W71:Y73),3,3)</f>
        <v>1.2816293428421182</v>
      </c>
      <c r="AE73" s="188">
        <f>U71*T71^2+U72*T72^2+U73*T73^2+U74*T74^2</f>
        <v>11.695772105424421</v>
      </c>
      <c r="AG73" s="188">
        <f t="shared" si="8"/>
        <v>1.3010299956639813</v>
      </c>
      <c r="AH73" s="188">
        <f t="shared" si="8"/>
        <v>0.6020599913279624</v>
      </c>
      <c r="AJ73" s="188">
        <f>AG71^2+AG72^2+AG73^2+AG74^2</f>
        <v>5.7025851953554998</v>
      </c>
      <c r="AK73" s="188">
        <f>AL72</f>
        <v>8.9548392404746231</v>
      </c>
      <c r="AL73" s="188">
        <f>AG71^4+AG72^4+AG73^4+AG74^4</f>
        <v>14.821665399823477</v>
      </c>
      <c r="AN73" s="188">
        <f>INDEX(MINVERSE(AJ71:AL73),3,1)</f>
        <v>0.59252774544134124</v>
      </c>
      <c r="AO73" s="188">
        <f>INDEX(MINVERSE(AJ71:AL73),3,2)</f>
        <v>-3.0376159965178964</v>
      </c>
      <c r="AP73" s="188">
        <f>INDEX(MINVERSE(AJ71:AL73),3,3)</f>
        <v>1.6747391271170073</v>
      </c>
      <c r="AR73" s="212">
        <f>AH71*AG71^2+AH72*AG72^2+AH73*AG73^2+AH74*AG74^2</f>
        <v>4.1850410876935236</v>
      </c>
    </row>
    <row r="74" spans="5:44" ht="15" thickBot="1">
      <c r="E74" s="221"/>
      <c r="F74" s="222">
        <v>90</v>
      </c>
      <c r="G74" s="222">
        <v>140</v>
      </c>
      <c r="H74" s="289"/>
      <c r="I74" s="222"/>
      <c r="J74" s="222"/>
      <c r="K74" s="222">
        <v>70</v>
      </c>
      <c r="L74" s="222">
        <v>7</v>
      </c>
      <c r="M74" s="224"/>
      <c r="T74" s="211">
        <f t="shared" si="7"/>
        <v>1.954242509439325</v>
      </c>
      <c r="U74" s="188">
        <f t="shared" si="7"/>
        <v>2.1461280356782382</v>
      </c>
      <c r="AG74" s="188">
        <f t="shared" si="8"/>
        <v>1.8450980400142569</v>
      </c>
      <c r="AH74" s="188">
        <f t="shared" si="8"/>
        <v>0.84509804001425681</v>
      </c>
      <c r="AR74" s="212"/>
    </row>
    <row r="75" spans="5:44" ht="15" thickBot="1">
      <c r="T75" s="221"/>
      <c r="U75" s="222"/>
      <c r="V75" s="222"/>
      <c r="W75" s="222"/>
      <c r="X75" s="222"/>
      <c r="Y75" s="222"/>
      <c r="Z75" s="222"/>
      <c r="AA75" s="222"/>
      <c r="AB75" s="222"/>
      <c r="AC75" s="222"/>
      <c r="AD75" s="222"/>
      <c r="AE75" s="222"/>
      <c r="AF75" s="222"/>
      <c r="AG75" s="222"/>
      <c r="AH75" s="222"/>
      <c r="AI75" s="222"/>
      <c r="AJ75" s="222"/>
      <c r="AK75" s="222"/>
      <c r="AL75" s="222"/>
      <c r="AM75" s="222"/>
      <c r="AN75" s="222"/>
      <c r="AO75" s="222"/>
      <c r="AP75" s="222"/>
      <c r="AQ75" s="222"/>
      <c r="AR75" s="224"/>
    </row>
    <row r="76" spans="5:44" ht="15" thickBot="1"/>
    <row r="77" spans="5:44">
      <c r="E77" s="280" t="s">
        <v>351</v>
      </c>
      <c r="F77" s="290"/>
      <c r="G77" s="290"/>
      <c r="H77" s="290"/>
      <c r="I77" s="290"/>
      <c r="J77" s="197"/>
      <c r="K77" s="198"/>
    </row>
    <row r="78" spans="5:44">
      <c r="E78" s="211"/>
      <c r="K78" s="212"/>
    </row>
    <row r="79" spans="5:44">
      <c r="E79" s="211" t="s">
        <v>172</v>
      </c>
      <c r="G79" s="188" t="s">
        <v>173</v>
      </c>
      <c r="H79" s="188">
        <f>-28.1815/100</f>
        <v>-0.28181499999999998</v>
      </c>
      <c r="I79" s="188" t="s">
        <v>174</v>
      </c>
      <c r="J79" s="291" t="s">
        <v>175</v>
      </c>
      <c r="K79" s="212">
        <f>168.1814/100</f>
        <v>1.6818139999999999</v>
      </c>
    </row>
    <row r="80" spans="5:44" ht="15" thickBot="1">
      <c r="E80" s="221" t="s">
        <v>176</v>
      </c>
      <c r="F80" s="222"/>
      <c r="G80" s="222" t="s">
        <v>173</v>
      </c>
      <c r="H80" s="222">
        <f>-28.1815/100</f>
        <v>-0.28181499999999998</v>
      </c>
      <c r="I80" s="222" t="s">
        <v>174</v>
      </c>
      <c r="J80" s="292" t="s">
        <v>175</v>
      </c>
      <c r="K80" s="224">
        <f>(168.1814-22.1818)/100</f>
        <v>1.4599959999999998</v>
      </c>
    </row>
    <row r="82" spans="5:44" ht="15" thickBot="1"/>
    <row r="83" spans="5:44">
      <c r="E83" s="280" t="s">
        <v>352</v>
      </c>
      <c r="F83" s="281"/>
      <c r="G83" s="282"/>
      <c r="H83" s="282"/>
      <c r="I83" s="282"/>
      <c r="J83" s="282"/>
      <c r="K83" s="282"/>
      <c r="L83" s="283"/>
      <c r="M83" s="293"/>
    </row>
    <row r="84" spans="5:44" ht="15" thickBot="1">
      <c r="E84" s="294" t="s">
        <v>177</v>
      </c>
      <c r="F84" s="241"/>
      <c r="G84" s="241"/>
      <c r="J84" s="241" t="s">
        <v>178</v>
      </c>
      <c r="K84" s="241"/>
      <c r="L84" s="209"/>
      <c r="N84" s="241" t="s">
        <v>126</v>
      </c>
    </row>
    <row r="85" spans="5:44">
      <c r="E85" s="285" t="s">
        <v>179</v>
      </c>
      <c r="F85" s="210" t="s">
        <v>180</v>
      </c>
      <c r="G85" s="210" t="s">
        <v>164</v>
      </c>
      <c r="H85" s="210"/>
      <c r="I85" s="210"/>
      <c r="J85" s="210" t="s">
        <v>179</v>
      </c>
      <c r="K85" s="210" t="s">
        <v>180</v>
      </c>
      <c r="L85" s="192" t="s">
        <v>164</v>
      </c>
      <c r="T85" s="284" t="s">
        <v>179</v>
      </c>
      <c r="U85" s="231" t="s">
        <v>180</v>
      </c>
      <c r="V85" s="195"/>
      <c r="W85" s="195"/>
      <c r="X85" s="231" t="s">
        <v>165</v>
      </c>
      <c r="Y85" s="231"/>
      <c r="Z85" s="231"/>
      <c r="AA85" s="231"/>
      <c r="AB85" s="231" t="s">
        <v>166</v>
      </c>
      <c r="AC85" s="231"/>
      <c r="AD85" s="231"/>
      <c r="AE85" s="231" t="s">
        <v>167</v>
      </c>
      <c r="AF85" s="195"/>
      <c r="AG85" s="231" t="s">
        <v>179</v>
      </c>
      <c r="AH85" s="231" t="s">
        <v>180</v>
      </c>
      <c r="AI85" s="231"/>
      <c r="AJ85" s="195"/>
      <c r="AK85" s="231" t="s">
        <v>165</v>
      </c>
      <c r="AL85" s="231"/>
      <c r="AM85" s="231"/>
      <c r="AN85" s="231"/>
      <c r="AO85" s="231" t="s">
        <v>166</v>
      </c>
      <c r="AP85" s="231"/>
      <c r="AQ85" s="231"/>
      <c r="AR85" s="187" t="s">
        <v>167</v>
      </c>
    </row>
    <row r="86" spans="5:44">
      <c r="E86" s="285" t="s">
        <v>181</v>
      </c>
      <c r="F86" s="210" t="s">
        <v>182</v>
      </c>
      <c r="G86" s="210" t="s">
        <v>168</v>
      </c>
      <c r="H86" s="210"/>
      <c r="I86" s="210"/>
      <c r="J86" s="210" t="s">
        <v>181</v>
      </c>
      <c r="K86" s="210" t="s">
        <v>182</v>
      </c>
      <c r="L86" s="192" t="s">
        <v>168</v>
      </c>
      <c r="T86" s="285" t="s">
        <v>181</v>
      </c>
      <c r="U86" s="210" t="s">
        <v>182</v>
      </c>
      <c r="AG86" s="210" t="s">
        <v>181</v>
      </c>
      <c r="AH86" s="210" t="s">
        <v>182</v>
      </c>
      <c r="AI86" s="210"/>
      <c r="AR86" s="212"/>
    </row>
    <row r="87" spans="5:44">
      <c r="E87" s="211">
        <v>1</v>
      </c>
      <c r="F87" s="188">
        <v>4</v>
      </c>
      <c r="G87" s="286">
        <f>INDEX(MMULT(AA87:AC89,AE87:AE89),1,1)</f>
        <v>0.6017184917250864</v>
      </c>
      <c r="J87" s="188">
        <v>300</v>
      </c>
      <c r="K87" s="188">
        <v>90</v>
      </c>
      <c r="L87" s="287">
        <f>INDEX(MMULT(AN87:AO88,AR87:AR88),1,1)</f>
        <v>-0.51024360722774986</v>
      </c>
      <c r="T87" s="211">
        <f t="shared" ref="T87:U90" si="9">LOG(E87)</f>
        <v>0</v>
      </c>
      <c r="U87" s="188">
        <f t="shared" si="9"/>
        <v>0.6020599913279624</v>
      </c>
      <c r="W87" s="188">
        <f>4</f>
        <v>4</v>
      </c>
      <c r="X87" s="188">
        <f>W88</f>
        <v>6.1760912590556813</v>
      </c>
      <c r="Y87" s="188">
        <f>X88</f>
        <v>13.022628786217448</v>
      </c>
      <c r="AA87" s="188">
        <f>INDEX(MINVERSE(W87:Y89),1,1)</f>
        <v>0.99928092012534531</v>
      </c>
      <c r="AB87" s="188">
        <f>INDEX(MINVERSE(W87:Y89),2)</f>
        <v>-0.96887778466405383</v>
      </c>
      <c r="AC87" s="188">
        <f>INDEX(MINVERSE(W87:Y89),3)</f>
        <v>0.22935107692054904</v>
      </c>
      <c r="AE87" s="188">
        <f>U87+U88+U89+U90</f>
        <v>5.2402496315187994</v>
      </c>
      <c r="AG87" s="188">
        <f t="shared" ref="AG87:AH89" si="10">LOG(J87)</f>
        <v>2.4771212547196626</v>
      </c>
      <c r="AH87" s="188">
        <f t="shared" si="10"/>
        <v>1.954242509439325</v>
      </c>
      <c r="AJ87" s="188">
        <v>3</v>
      </c>
      <c r="AK87" s="188">
        <f>AJ88</f>
        <v>8.9542425094393252</v>
      </c>
      <c r="AN87" s="188">
        <f>INDEX(MINVERSE(AJ87:AK88),1,1)</f>
        <v>18.13834224815108</v>
      </c>
      <c r="AO87" s="188">
        <f>INDEX(MINVERSE(AJ87:AK88),2)</f>
        <v>-5.9653317059644682</v>
      </c>
      <c r="AR87" s="212">
        <f>AH87+AH88+AH89</f>
        <v>7.380753770803901</v>
      </c>
    </row>
    <row r="88" spans="5:44">
      <c r="E88" s="211">
        <v>50</v>
      </c>
      <c r="F88" s="188">
        <v>16.100000000000001</v>
      </c>
      <c r="G88" s="286">
        <f>INDEX(MMULT(AA87:AC89,AE87:AE89),2,1)</f>
        <v>-4.755720848801559E-2</v>
      </c>
      <c r="J88" s="188">
        <v>1000</v>
      </c>
      <c r="K88" s="188">
        <v>300</v>
      </c>
      <c r="L88" s="287">
        <f>INDEX(MMULT(AN87:AO88,AR87:AR88),2,1)</f>
        <v>0.99522484264780786</v>
      </c>
      <c r="T88" s="211">
        <f t="shared" si="9"/>
        <v>1.6989700043360187</v>
      </c>
      <c r="U88" s="188">
        <f t="shared" si="9"/>
        <v>1.2068258760318498</v>
      </c>
      <c r="W88" s="188">
        <f>T87+T88+T89+T90</f>
        <v>6.1760912590556813</v>
      </c>
      <c r="X88" s="188">
        <f>W89</f>
        <v>13.022628786217448</v>
      </c>
      <c r="Y88" s="188">
        <f>T87^3+T88^3+T89^3+T90^3</f>
        <v>28.104012674849244</v>
      </c>
      <c r="AA88" s="188">
        <f>INDEX(MINVERSE(W87:Y89),2,1)</f>
        <v>-0.96887778466405383</v>
      </c>
      <c r="AB88" s="188">
        <f>INDEX(MINVERSE(W87:Y89),2,2)</f>
        <v>4.5101853008225978</v>
      </c>
      <c r="AC88" s="188">
        <f>INDEX(MINVERSE(W87:Y89),2,3)</f>
        <v>-1.8413951029499336</v>
      </c>
      <c r="AE88" s="188">
        <f>T87*U87+T88*U88+T89*U89+T90*U90</f>
        <v>9.8454991302828176</v>
      </c>
      <c r="AG88" s="188">
        <f t="shared" si="10"/>
        <v>3</v>
      </c>
      <c r="AH88" s="188">
        <f t="shared" si="10"/>
        <v>2.4771212547196626</v>
      </c>
      <c r="AJ88" s="188">
        <f>AG87+AG88+AG89</f>
        <v>8.9542425094393252</v>
      </c>
      <c r="AK88" s="188">
        <f>AG87^2+AG88^2+AG89^2</f>
        <v>27.226501930607157</v>
      </c>
      <c r="AN88" s="188">
        <f>INDEX(MINVERSE(AJ87:AK88),2,1)</f>
        <v>-5.9653317059644682</v>
      </c>
      <c r="AO88" s="188">
        <f>INDEX(MINVERSE(AJ87:AK88),2,2)</f>
        <v>1.9986051415323987</v>
      </c>
      <c r="AR88" s="212">
        <f>AG87*AH87+AG88*AH88+AG89*AH89</f>
        <v>22.527646101730625</v>
      </c>
    </row>
    <row r="89" spans="5:44">
      <c r="E89" s="211">
        <v>100</v>
      </c>
      <c r="F89" s="188">
        <v>30</v>
      </c>
      <c r="G89" s="286">
        <f>INDEX(MMULT(AA87:AC89,AE87:AE89),3,1)</f>
        <v>0.24012765591352192</v>
      </c>
      <c r="J89" s="188">
        <v>3000</v>
      </c>
      <c r="K89" s="188">
        <v>890</v>
      </c>
      <c r="L89" s="287"/>
      <c r="T89" s="211">
        <f t="shared" si="9"/>
        <v>2</v>
      </c>
      <c r="U89" s="188">
        <f t="shared" si="9"/>
        <v>1.4771212547196624</v>
      </c>
      <c r="W89" s="188">
        <f>T87^2+T88^2+T89^2+T90^2</f>
        <v>13.022628786217448</v>
      </c>
      <c r="X89" s="188">
        <f>Y88</f>
        <v>28.104012674849244</v>
      </c>
      <c r="Y89" s="188">
        <f>T87^4+T88^4+T89^4+T90^4</f>
        <v>61.983964738743879</v>
      </c>
      <c r="AA89" s="188">
        <f>INDEX(MINVERSE(W87:Y89),3,1)</f>
        <v>0.22935107692054904</v>
      </c>
      <c r="AB89" s="188">
        <f>INDEX(MINVERSE(W87:Y89),3,2)</f>
        <v>-1.8413951029499331</v>
      </c>
      <c r="AC89" s="188">
        <f>INDEX(MINVERSE(W87:Y89),3,3)</f>
        <v>0.8028501820753845</v>
      </c>
      <c r="AE89" s="188">
        <f>U87*T87^2+U88*T88^2+U89*T89^2+U90*T90^2</f>
        <v>21.38347231835192</v>
      </c>
      <c r="AG89" s="188">
        <f t="shared" si="10"/>
        <v>3.4771212547196626</v>
      </c>
      <c r="AH89" s="188">
        <f t="shared" si="10"/>
        <v>2.9493900066449128</v>
      </c>
      <c r="AR89" s="212"/>
    </row>
    <row r="90" spans="5:44" ht="15" thickBot="1">
      <c r="E90" s="221">
        <v>300</v>
      </c>
      <c r="F90" s="222">
        <v>90</v>
      </c>
      <c r="G90" s="289"/>
      <c r="H90" s="222"/>
      <c r="I90" s="222"/>
      <c r="J90" s="222"/>
      <c r="K90" s="222"/>
      <c r="L90" s="295"/>
      <c r="T90" s="221">
        <f t="shared" si="9"/>
        <v>2.4771212547196626</v>
      </c>
      <c r="U90" s="222">
        <f t="shared" si="9"/>
        <v>1.954242509439325</v>
      </c>
      <c r="V90" s="222"/>
      <c r="W90" s="222"/>
      <c r="X90" s="222"/>
      <c r="Y90" s="222"/>
      <c r="Z90" s="222"/>
      <c r="AA90" s="222"/>
      <c r="AB90" s="222"/>
      <c r="AC90" s="222"/>
      <c r="AD90" s="222"/>
      <c r="AE90" s="222"/>
      <c r="AF90" s="222"/>
      <c r="AG90" s="222"/>
      <c r="AH90" s="222"/>
      <c r="AI90" s="222"/>
      <c r="AJ90" s="222"/>
      <c r="AK90" s="222"/>
      <c r="AL90" s="222"/>
      <c r="AM90" s="222"/>
      <c r="AN90" s="222"/>
      <c r="AO90" s="222"/>
      <c r="AP90" s="222"/>
      <c r="AQ90" s="222"/>
      <c r="AR90" s="224"/>
    </row>
    <row r="92" spans="5:44" ht="15" thickBot="1"/>
    <row r="93" spans="5:44">
      <c r="E93" s="296" t="s">
        <v>353</v>
      </c>
      <c r="F93" s="297"/>
      <c r="G93" s="195"/>
      <c r="H93" s="195"/>
      <c r="I93" s="195"/>
      <c r="J93" s="195"/>
      <c r="K93" s="195"/>
      <c r="L93" s="195"/>
      <c r="M93" s="195"/>
      <c r="N93" s="229"/>
    </row>
    <row r="94" spans="5:44">
      <c r="E94" s="211"/>
      <c r="N94" s="212"/>
    </row>
    <row r="95" spans="5:44">
      <c r="E95" s="298" t="s">
        <v>183</v>
      </c>
      <c r="F95" s="299" t="s">
        <v>184</v>
      </c>
      <c r="G95" s="300" t="s">
        <v>183</v>
      </c>
      <c r="H95" s="299" t="s">
        <v>184</v>
      </c>
      <c r="I95" s="210"/>
      <c r="J95" s="300" t="s">
        <v>183</v>
      </c>
      <c r="K95" s="299" t="s">
        <v>184</v>
      </c>
      <c r="L95" s="300" t="s">
        <v>183</v>
      </c>
      <c r="M95" s="299" t="s">
        <v>184</v>
      </c>
      <c r="N95" s="301">
        <v>1.0169999999999999</v>
      </c>
    </row>
    <row r="96" spans="5:44">
      <c r="E96" s="298" t="s">
        <v>185</v>
      </c>
      <c r="F96" s="299" t="s">
        <v>186</v>
      </c>
      <c r="G96" s="300" t="s">
        <v>185</v>
      </c>
      <c r="H96" s="299" t="s">
        <v>186</v>
      </c>
      <c r="I96" s="210"/>
      <c r="J96" s="300" t="s">
        <v>185</v>
      </c>
      <c r="K96" s="299" t="s">
        <v>186</v>
      </c>
      <c r="L96" s="300" t="s">
        <v>185</v>
      </c>
      <c r="M96" s="299" t="s">
        <v>186</v>
      </c>
      <c r="N96" s="301">
        <v>1.022</v>
      </c>
    </row>
    <row r="97" spans="5:14">
      <c r="E97" s="298"/>
      <c r="F97" s="300" t="s">
        <v>187</v>
      </c>
      <c r="G97" s="300"/>
      <c r="H97" s="300" t="s">
        <v>187</v>
      </c>
      <c r="I97" s="210"/>
      <c r="J97" s="300"/>
      <c r="K97" s="300" t="s">
        <v>187</v>
      </c>
      <c r="L97" s="300"/>
      <c r="M97" s="300" t="s">
        <v>187</v>
      </c>
      <c r="N97" s="212"/>
    </row>
    <row r="98" spans="5:14">
      <c r="E98" s="298">
        <v>1981</v>
      </c>
      <c r="F98" s="299">
        <v>0.51</v>
      </c>
      <c r="G98" s="300">
        <f>E107+1</f>
        <v>1991</v>
      </c>
      <c r="H98" s="299">
        <v>0.83699999999999997</v>
      </c>
      <c r="J98" s="300">
        <f>G107+1</f>
        <v>2001</v>
      </c>
      <c r="K98" s="299">
        <f>ROUND(H107*$N$95,3)</f>
        <v>1.0169999999999999</v>
      </c>
      <c r="L98" s="300">
        <f>J107+1</f>
        <v>2011</v>
      </c>
      <c r="M98" s="299">
        <f>K107*$N$96</f>
        <v>1.2519500000000001</v>
      </c>
      <c r="N98" s="212"/>
    </row>
    <row r="99" spans="5:14">
      <c r="E99" s="298">
        <f t="shared" ref="E99:E107" si="11">E98+1</f>
        <v>1982</v>
      </c>
      <c r="F99" s="299">
        <v>0.55900000000000005</v>
      </c>
      <c r="G99" s="300">
        <f t="shared" ref="G99:G107" si="12">G98+1</f>
        <v>1992</v>
      </c>
      <c r="H99" s="299">
        <v>0.86</v>
      </c>
      <c r="J99" s="300">
        <f t="shared" ref="J99:J107" si="13">J98+1</f>
        <v>2002</v>
      </c>
      <c r="K99" s="299">
        <f>ROUND(K98*$N$95,3)</f>
        <v>1.034</v>
      </c>
      <c r="L99" s="300">
        <f t="shared" ref="L99:L107" si="14">L98+1</f>
        <v>2012</v>
      </c>
      <c r="M99" s="299">
        <f t="shared" ref="M99:M107" si="15">M98*$N$96</f>
        <v>1.2794929000000002</v>
      </c>
      <c r="N99" s="212"/>
    </row>
    <row r="100" spans="5:14">
      <c r="E100" s="298">
        <f t="shared" si="11"/>
        <v>1983</v>
      </c>
      <c r="F100" s="299">
        <v>0.61</v>
      </c>
      <c r="G100" s="300">
        <f t="shared" si="12"/>
        <v>1993</v>
      </c>
      <c r="H100" s="299">
        <v>0.88300000000000001</v>
      </c>
      <c r="J100" s="300">
        <f t="shared" si="13"/>
        <v>2003</v>
      </c>
      <c r="K100" s="299">
        <f>ROUND(K99*$N$95,3)</f>
        <v>1.052</v>
      </c>
      <c r="L100" s="300">
        <f t="shared" si="14"/>
        <v>2013</v>
      </c>
      <c r="M100" s="299">
        <f t="shared" si="15"/>
        <v>1.3076417438000001</v>
      </c>
      <c r="N100" s="302"/>
    </row>
    <row r="101" spans="5:14">
      <c r="E101" s="298">
        <f t="shared" si="11"/>
        <v>1984</v>
      </c>
      <c r="F101" s="299">
        <v>0.65800000000000003</v>
      </c>
      <c r="G101" s="300">
        <f t="shared" si="12"/>
        <v>1994</v>
      </c>
      <c r="H101" s="299">
        <v>0.90100000000000002</v>
      </c>
      <c r="J101" s="300">
        <f t="shared" si="13"/>
        <v>2004</v>
      </c>
      <c r="K101" s="299">
        <f t="shared" ref="K101:K107" si="16">ROUND(K100*$N$96,3)</f>
        <v>1.075</v>
      </c>
      <c r="L101" s="300">
        <f t="shared" si="14"/>
        <v>2014</v>
      </c>
      <c r="M101" s="299">
        <f t="shared" si="15"/>
        <v>1.3364098621636</v>
      </c>
      <c r="N101" s="302"/>
    </row>
    <row r="102" spans="5:14">
      <c r="E102" s="298">
        <f t="shared" si="11"/>
        <v>1985</v>
      </c>
      <c r="F102" s="299">
        <v>0.68100000000000005</v>
      </c>
      <c r="G102" s="300">
        <f t="shared" si="12"/>
        <v>1995</v>
      </c>
      <c r="H102" s="299">
        <v>0.91800000000000004</v>
      </c>
      <c r="J102" s="300">
        <f t="shared" si="13"/>
        <v>2005</v>
      </c>
      <c r="K102" s="299">
        <f t="shared" si="16"/>
        <v>1.099</v>
      </c>
      <c r="L102" s="300">
        <f t="shared" si="14"/>
        <v>2015</v>
      </c>
      <c r="M102" s="299">
        <f t="shared" si="15"/>
        <v>1.3658108791311994</v>
      </c>
      <c r="N102" s="212"/>
    </row>
    <row r="103" spans="5:14">
      <c r="E103" s="298">
        <f t="shared" si="11"/>
        <v>1986</v>
      </c>
      <c r="F103" s="299">
        <v>0.7</v>
      </c>
      <c r="G103" s="300">
        <f t="shared" si="12"/>
        <v>1996</v>
      </c>
      <c r="H103" s="299">
        <v>0.93700000000000006</v>
      </c>
      <c r="J103" s="300">
        <f t="shared" si="13"/>
        <v>2006</v>
      </c>
      <c r="K103" s="299">
        <f t="shared" si="16"/>
        <v>1.123</v>
      </c>
      <c r="L103" s="300">
        <f t="shared" si="14"/>
        <v>2016</v>
      </c>
      <c r="M103" s="299">
        <f t="shared" si="15"/>
        <v>1.3958587184720859</v>
      </c>
      <c r="N103" s="212"/>
    </row>
    <row r="104" spans="5:14">
      <c r="E104" s="298">
        <f t="shared" si="11"/>
        <v>1987</v>
      </c>
      <c r="F104" s="299">
        <v>0.71899999999999997</v>
      </c>
      <c r="G104" s="300">
        <f t="shared" si="12"/>
        <v>1997</v>
      </c>
      <c r="H104" s="299">
        <v>0.95799999999999996</v>
      </c>
      <c r="J104" s="300">
        <f t="shared" si="13"/>
        <v>2007</v>
      </c>
      <c r="K104" s="299">
        <f t="shared" si="16"/>
        <v>1.1479999999999999</v>
      </c>
      <c r="L104" s="300">
        <f t="shared" si="14"/>
        <v>2017</v>
      </c>
      <c r="M104" s="299">
        <f t="shared" si="15"/>
        <v>1.4265676102784717</v>
      </c>
      <c r="N104" s="212"/>
    </row>
    <row r="105" spans="5:14">
      <c r="E105" s="298">
        <f t="shared" si="11"/>
        <v>1988</v>
      </c>
      <c r="F105" s="299">
        <v>0.74</v>
      </c>
      <c r="G105" s="300">
        <f t="shared" si="12"/>
        <v>1998</v>
      </c>
      <c r="H105" s="299">
        <v>0.97</v>
      </c>
      <c r="J105" s="300">
        <f t="shared" si="13"/>
        <v>2008</v>
      </c>
      <c r="K105" s="299">
        <f t="shared" si="16"/>
        <v>1.173</v>
      </c>
      <c r="L105" s="300">
        <f t="shared" si="14"/>
        <v>2018</v>
      </c>
      <c r="M105" s="299">
        <f t="shared" si="15"/>
        <v>1.4579520977045981</v>
      </c>
      <c r="N105" s="212"/>
    </row>
    <row r="106" spans="5:14">
      <c r="E106" s="298">
        <f t="shared" si="11"/>
        <v>1989</v>
      </c>
      <c r="F106" s="299">
        <v>0.77100000000000002</v>
      </c>
      <c r="G106" s="300">
        <f t="shared" si="12"/>
        <v>1999</v>
      </c>
      <c r="H106" s="299">
        <v>0.98399999999999999</v>
      </c>
      <c r="J106" s="300">
        <f t="shared" si="13"/>
        <v>2009</v>
      </c>
      <c r="K106" s="299">
        <f t="shared" si="16"/>
        <v>1.1990000000000001</v>
      </c>
      <c r="L106" s="300">
        <f t="shared" si="14"/>
        <v>2019</v>
      </c>
      <c r="M106" s="299">
        <f t="shared" si="15"/>
        <v>1.4900270438540992</v>
      </c>
      <c r="N106" s="212"/>
    </row>
    <row r="107" spans="5:14" ht="15" thickBot="1">
      <c r="E107" s="303">
        <f t="shared" si="11"/>
        <v>1990</v>
      </c>
      <c r="F107" s="304">
        <v>0.80200000000000005</v>
      </c>
      <c r="G107" s="305">
        <f t="shared" si="12"/>
        <v>2000</v>
      </c>
      <c r="H107" s="304">
        <v>1</v>
      </c>
      <c r="I107" s="222"/>
      <c r="J107" s="305">
        <f t="shared" si="13"/>
        <v>2010</v>
      </c>
      <c r="K107" s="304">
        <f t="shared" si="16"/>
        <v>1.2250000000000001</v>
      </c>
      <c r="L107" s="305">
        <f t="shared" si="14"/>
        <v>2020</v>
      </c>
      <c r="M107" s="304">
        <f t="shared" si="15"/>
        <v>1.5228076388188894</v>
      </c>
      <c r="N107" s="224"/>
    </row>
    <row r="109" spans="5:14" ht="15" thickBot="1">
      <c r="M109" s="306"/>
    </row>
    <row r="110" spans="5:14">
      <c r="E110" s="296" t="s">
        <v>354</v>
      </c>
      <c r="F110" s="297"/>
      <c r="G110" s="297"/>
      <c r="H110" s="195"/>
      <c r="I110" s="229"/>
      <c r="M110" s="306"/>
    </row>
    <row r="111" spans="5:14" ht="15" thickBot="1">
      <c r="E111" s="221"/>
      <c r="F111" s="222"/>
      <c r="G111" s="222"/>
      <c r="H111" s="222"/>
      <c r="I111" s="224"/>
    </row>
    <row r="112" spans="5:14">
      <c r="E112" s="307"/>
      <c r="F112" s="195"/>
      <c r="G112" s="308" t="s">
        <v>188</v>
      </c>
      <c r="H112" s="308" t="s">
        <v>189</v>
      </c>
      <c r="I112" s="309" t="s">
        <v>190</v>
      </c>
      <c r="M112" s="310" t="s">
        <v>355</v>
      </c>
      <c r="N112" s="229"/>
    </row>
    <row r="113" spans="5:18">
      <c r="E113" s="211"/>
      <c r="G113" s="300" t="s">
        <v>191</v>
      </c>
      <c r="H113" s="300" t="s">
        <v>192</v>
      </c>
      <c r="I113" s="311" t="s">
        <v>192</v>
      </c>
      <c r="M113" s="211"/>
      <c r="N113" s="212"/>
    </row>
    <row r="114" spans="5:18">
      <c r="E114" s="312" t="s">
        <v>118</v>
      </c>
      <c r="F114" s="306"/>
      <c r="G114" s="313">
        <v>0.4</v>
      </c>
      <c r="H114" s="314">
        <v>0.6</v>
      </c>
      <c r="I114" s="315">
        <f>1-H114</f>
        <v>0.4</v>
      </c>
      <c r="M114" s="211" t="s">
        <v>356</v>
      </c>
      <c r="N114" s="212" t="s">
        <v>357</v>
      </c>
    </row>
    <row r="115" spans="5:18">
      <c r="E115" s="312" t="s">
        <v>193</v>
      </c>
      <c r="F115" s="306"/>
      <c r="G115" s="316">
        <f>SUM(G116:G122)</f>
        <v>0.99999999999999989</v>
      </c>
      <c r="H115" s="317">
        <f>SUMPRODUCT((G116:G122),(H116:H122))</f>
        <v>0.59983999999999993</v>
      </c>
      <c r="I115" s="318">
        <f>SUMPRODUCT((G116:G122),(I116:I122))</f>
        <v>0.40016000000000002</v>
      </c>
      <c r="M115" s="211" t="s">
        <v>358</v>
      </c>
      <c r="N115" s="212">
        <v>1000</v>
      </c>
    </row>
    <row r="116" spans="5:18">
      <c r="E116" s="312"/>
      <c r="F116" s="306" t="s">
        <v>144</v>
      </c>
      <c r="G116" s="313">
        <v>0.184</v>
      </c>
      <c r="H116" s="314">
        <v>0.37</v>
      </c>
      <c r="I116" s="315">
        <f t="shared" ref="I116:I126" si="17">1-H116</f>
        <v>0.63</v>
      </c>
      <c r="M116" s="211" t="s">
        <v>359</v>
      </c>
      <c r="N116" s="212">
        <v>1000</v>
      </c>
    </row>
    <row r="117" spans="5:18">
      <c r="E117" s="312"/>
      <c r="F117" s="306" t="s">
        <v>148</v>
      </c>
      <c r="G117" s="319">
        <v>0.17</v>
      </c>
      <c r="H117" s="320">
        <v>0.7</v>
      </c>
      <c r="I117" s="315">
        <f t="shared" si="17"/>
        <v>0.30000000000000004</v>
      </c>
      <c r="M117" s="211" t="s">
        <v>360</v>
      </c>
      <c r="N117" s="212">
        <v>1000</v>
      </c>
    </row>
    <row r="118" spans="5:18">
      <c r="E118" s="312"/>
      <c r="F118" s="306" t="s">
        <v>117</v>
      </c>
      <c r="G118" s="313">
        <v>0.23300000000000001</v>
      </c>
      <c r="H118" s="314">
        <v>0.62</v>
      </c>
      <c r="I118" s="315">
        <f t="shared" si="17"/>
        <v>0.38</v>
      </c>
      <c r="M118" s="211" t="s">
        <v>361</v>
      </c>
      <c r="N118" s="212">
        <v>3500</v>
      </c>
      <c r="R118" s="321"/>
    </row>
    <row r="119" spans="5:18">
      <c r="E119" s="312"/>
      <c r="F119" s="306" t="s">
        <v>7</v>
      </c>
      <c r="G119" s="313">
        <v>8.4000000000000005E-2</v>
      </c>
      <c r="H119" s="314">
        <v>0.5</v>
      </c>
      <c r="I119" s="315">
        <f t="shared" si="17"/>
        <v>0.5</v>
      </c>
      <c r="M119" s="211"/>
      <c r="N119" s="212"/>
      <c r="R119" s="322"/>
    </row>
    <row r="120" spans="5:18">
      <c r="E120" s="312"/>
      <c r="F120" s="306" t="s">
        <v>143</v>
      </c>
      <c r="G120" s="313">
        <v>0.183</v>
      </c>
      <c r="H120" s="314">
        <v>0.7</v>
      </c>
      <c r="I120" s="315">
        <f t="shared" si="17"/>
        <v>0.30000000000000004</v>
      </c>
      <c r="M120" s="211"/>
      <c r="N120" s="212"/>
    </row>
    <row r="121" spans="5:18">
      <c r="E121" s="312"/>
      <c r="F121" s="306" t="s">
        <v>145</v>
      </c>
      <c r="G121" s="313">
        <v>0.02</v>
      </c>
      <c r="H121" s="314">
        <v>0.5</v>
      </c>
      <c r="I121" s="315">
        <f t="shared" si="17"/>
        <v>0.5</v>
      </c>
      <c r="M121" s="211"/>
      <c r="N121" s="212"/>
    </row>
    <row r="122" spans="5:18">
      <c r="E122" s="323"/>
      <c r="F122" s="306" t="s">
        <v>142</v>
      </c>
      <c r="G122" s="313">
        <v>0.126</v>
      </c>
      <c r="H122" s="320">
        <v>0.7</v>
      </c>
      <c r="I122" s="315">
        <f t="shared" si="17"/>
        <v>0.30000000000000004</v>
      </c>
      <c r="M122" s="211"/>
      <c r="N122" s="212"/>
    </row>
    <row r="123" spans="5:18">
      <c r="E123" s="312" t="s">
        <v>194</v>
      </c>
      <c r="F123" s="306"/>
      <c r="G123" s="313">
        <v>0.13900000000000001</v>
      </c>
      <c r="H123" s="314">
        <v>0</v>
      </c>
      <c r="I123" s="315">
        <f t="shared" si="17"/>
        <v>1</v>
      </c>
      <c r="M123" s="211" t="s">
        <v>362</v>
      </c>
      <c r="N123" s="212"/>
    </row>
    <row r="124" spans="5:18">
      <c r="E124" s="312" t="s">
        <v>195</v>
      </c>
      <c r="F124" s="306"/>
      <c r="G124" s="313">
        <v>0.22900000000000001</v>
      </c>
      <c r="H124" s="314">
        <v>0.5</v>
      </c>
      <c r="I124" s="315">
        <f t="shared" si="17"/>
        <v>0.5</v>
      </c>
      <c r="M124" s="211" t="s">
        <v>363</v>
      </c>
      <c r="N124" s="212">
        <v>800</v>
      </c>
    </row>
    <row r="125" spans="5:18">
      <c r="E125" s="312" t="s">
        <v>196</v>
      </c>
      <c r="F125" s="306"/>
      <c r="G125" s="313">
        <v>6.6000000000000003E-2</v>
      </c>
      <c r="H125" s="314">
        <v>1</v>
      </c>
      <c r="I125" s="315">
        <f t="shared" si="17"/>
        <v>0</v>
      </c>
      <c r="M125" s="211" t="s">
        <v>158</v>
      </c>
      <c r="N125" s="212">
        <v>500</v>
      </c>
    </row>
    <row r="126" spans="5:18" ht="15" thickBot="1">
      <c r="E126" s="324" t="s">
        <v>197</v>
      </c>
      <c r="F126" s="325"/>
      <c r="G126" s="326">
        <v>6.0999999999999999E-2</v>
      </c>
      <c r="H126" s="327">
        <v>0</v>
      </c>
      <c r="I126" s="328">
        <f t="shared" si="17"/>
        <v>1</v>
      </c>
      <c r="M126" s="211" t="s">
        <v>157</v>
      </c>
      <c r="N126" s="212">
        <v>1200</v>
      </c>
    </row>
    <row r="127" spans="5:18">
      <c r="M127" s="211" t="s">
        <v>364</v>
      </c>
      <c r="N127" s="212">
        <v>200</v>
      </c>
    </row>
    <row r="128" spans="5:18" ht="15" thickBot="1">
      <c r="M128" s="211" t="s">
        <v>365</v>
      </c>
      <c r="N128" s="212">
        <v>400</v>
      </c>
    </row>
    <row r="129" spans="5:18">
      <c r="E129" s="296" t="s">
        <v>366</v>
      </c>
      <c r="F129" s="297"/>
      <c r="G129" s="195"/>
      <c r="H129" s="229"/>
      <c r="M129" s="211" t="s">
        <v>367</v>
      </c>
      <c r="N129" s="212">
        <v>2000</v>
      </c>
    </row>
    <row r="130" spans="5:18">
      <c r="E130" s="211"/>
      <c r="H130" s="212"/>
      <c r="M130" s="211" t="s">
        <v>368</v>
      </c>
      <c r="N130" s="212">
        <v>300</v>
      </c>
      <c r="R130" s="321"/>
    </row>
    <row r="131" spans="5:18">
      <c r="E131" s="211" t="s">
        <v>198</v>
      </c>
      <c r="H131" s="329">
        <v>1.1000000000000001</v>
      </c>
      <c r="M131" s="211" t="s">
        <v>369</v>
      </c>
      <c r="N131" s="212">
        <v>2500</v>
      </c>
      <c r="R131" s="322"/>
    </row>
    <row r="132" spans="5:18">
      <c r="E132" s="211" t="s">
        <v>199</v>
      </c>
      <c r="H132" s="329">
        <v>1</v>
      </c>
      <c r="M132" s="211"/>
      <c r="N132" s="212"/>
    </row>
    <row r="133" spans="5:18">
      <c r="E133" s="211" t="s">
        <v>200</v>
      </c>
      <c r="H133" s="329">
        <v>0.8</v>
      </c>
      <c r="M133" s="211"/>
      <c r="N133" s="212"/>
    </row>
    <row r="134" spans="5:18">
      <c r="E134" s="211" t="s">
        <v>201</v>
      </c>
      <c r="H134" s="329">
        <v>0.5</v>
      </c>
      <c r="M134" s="211"/>
      <c r="N134" s="212"/>
    </row>
    <row r="135" spans="5:18" ht="15" thickBot="1">
      <c r="E135" s="221" t="s">
        <v>202</v>
      </c>
      <c r="F135" s="222"/>
      <c r="G135" s="222"/>
      <c r="H135" s="330">
        <v>0.2</v>
      </c>
      <c r="M135" s="211" t="s">
        <v>370</v>
      </c>
      <c r="N135" s="212"/>
    </row>
    <row r="136" spans="5:18">
      <c r="M136" s="211" t="s">
        <v>371</v>
      </c>
      <c r="N136" s="212">
        <v>2000</v>
      </c>
    </row>
    <row r="137" spans="5:18">
      <c r="M137" s="211" t="s">
        <v>372</v>
      </c>
      <c r="N137" s="212">
        <v>8000</v>
      </c>
    </row>
    <row r="138" spans="5:18">
      <c r="M138" s="211" t="s">
        <v>373</v>
      </c>
      <c r="N138" s="212">
        <v>800</v>
      </c>
    </row>
    <row r="139" spans="5:18">
      <c r="M139" s="211" t="s">
        <v>374</v>
      </c>
      <c r="N139" s="212">
        <v>3500</v>
      </c>
    </row>
    <row r="140" spans="5:18">
      <c r="M140" s="211" t="s">
        <v>375</v>
      </c>
      <c r="N140" s="212">
        <v>2000</v>
      </c>
    </row>
    <row r="141" spans="5:18">
      <c r="M141" s="211" t="s">
        <v>376</v>
      </c>
      <c r="N141" s="212">
        <v>4000</v>
      </c>
    </row>
    <row r="142" spans="5:18">
      <c r="M142" s="211" t="s">
        <v>377</v>
      </c>
      <c r="N142" s="212">
        <v>3000</v>
      </c>
    </row>
    <row r="143" spans="5:18">
      <c r="M143" s="211" t="s">
        <v>378</v>
      </c>
      <c r="N143" s="212">
        <v>8500</v>
      </c>
      <c r="R143" s="321"/>
    </row>
    <row r="144" spans="5:18">
      <c r="M144" s="211"/>
      <c r="N144" s="212"/>
      <c r="R144" s="322"/>
    </row>
    <row r="145" spans="13:18">
      <c r="M145" s="211"/>
      <c r="N145" s="212"/>
    </row>
    <row r="146" spans="13:18">
      <c r="M146" s="211"/>
      <c r="N146" s="212"/>
    </row>
    <row r="147" spans="13:18">
      <c r="M147" s="211" t="s">
        <v>379</v>
      </c>
      <c r="N147" s="212"/>
    </row>
    <row r="148" spans="13:18">
      <c r="M148" s="211" t="s">
        <v>380</v>
      </c>
      <c r="N148" s="212">
        <v>600</v>
      </c>
    </row>
    <row r="149" spans="13:18">
      <c r="M149" s="211" t="s">
        <v>381</v>
      </c>
      <c r="N149" s="212">
        <v>800</v>
      </c>
    </row>
    <row r="150" spans="13:18">
      <c r="M150" s="211" t="s">
        <v>382</v>
      </c>
      <c r="N150" s="212">
        <v>1200</v>
      </c>
    </row>
    <row r="151" spans="13:18">
      <c r="M151" s="211" t="s">
        <v>383</v>
      </c>
      <c r="N151" s="212">
        <v>1500</v>
      </c>
      <c r="R151" s="321"/>
    </row>
    <row r="152" spans="13:18">
      <c r="M152" s="211"/>
      <c r="N152" s="212"/>
      <c r="R152" s="322"/>
    </row>
    <row r="153" spans="13:18">
      <c r="M153" s="211"/>
      <c r="N153" s="212"/>
    </row>
    <row r="154" spans="13:18">
      <c r="M154" s="211"/>
      <c r="N154" s="212"/>
    </row>
    <row r="155" spans="13:18">
      <c r="M155" s="211" t="s">
        <v>384</v>
      </c>
      <c r="N155" s="212"/>
    </row>
    <row r="156" spans="13:18">
      <c r="M156" s="211" t="s">
        <v>385</v>
      </c>
      <c r="N156" s="212">
        <v>4000</v>
      </c>
    </row>
    <row r="157" spans="13:18">
      <c r="M157" s="211" t="s">
        <v>386</v>
      </c>
      <c r="N157" s="212">
        <v>2500</v>
      </c>
    </row>
    <row r="158" spans="13:18">
      <c r="M158" s="211" t="s">
        <v>387</v>
      </c>
      <c r="N158" s="212">
        <v>5000</v>
      </c>
      <c r="R158" s="321"/>
    </row>
    <row r="159" spans="13:18">
      <c r="M159" s="211"/>
      <c r="N159" s="212"/>
      <c r="R159" s="322"/>
    </row>
    <row r="160" spans="13:18">
      <c r="M160" s="211"/>
      <c r="N160" s="212"/>
    </row>
    <row r="161" spans="13:18">
      <c r="M161" s="211"/>
      <c r="N161" s="212"/>
    </row>
    <row r="162" spans="13:18">
      <c r="M162" s="211" t="s">
        <v>388</v>
      </c>
      <c r="N162" s="212"/>
    </row>
    <row r="163" spans="13:18">
      <c r="M163" s="211" t="s">
        <v>389</v>
      </c>
      <c r="N163" s="212">
        <v>800</v>
      </c>
    </row>
    <row r="164" spans="13:18">
      <c r="M164" s="211" t="s">
        <v>390</v>
      </c>
      <c r="N164" s="212">
        <v>1500</v>
      </c>
    </row>
    <row r="165" spans="13:18">
      <c r="M165" s="211" t="s">
        <v>391</v>
      </c>
      <c r="N165" s="212">
        <v>1800</v>
      </c>
    </row>
    <row r="166" spans="13:18">
      <c r="M166" s="211" t="s">
        <v>392</v>
      </c>
      <c r="N166" s="212">
        <v>1200</v>
      </c>
    </row>
    <row r="167" spans="13:18">
      <c r="M167" s="211" t="s">
        <v>393</v>
      </c>
      <c r="N167" s="212">
        <v>2000</v>
      </c>
      <c r="R167" s="321"/>
    </row>
    <row r="168" spans="13:18">
      <c r="M168" s="211"/>
      <c r="N168" s="212"/>
      <c r="R168" s="322"/>
    </row>
    <row r="169" spans="13:18">
      <c r="M169" s="211"/>
      <c r="N169" s="212"/>
    </row>
    <row r="170" spans="13:18">
      <c r="M170" s="211"/>
      <c r="N170" s="212"/>
    </row>
    <row r="171" spans="13:18">
      <c r="M171" s="211" t="s">
        <v>349</v>
      </c>
      <c r="N171" s="212"/>
    </row>
    <row r="172" spans="13:18">
      <c r="M172" s="211" t="s">
        <v>394</v>
      </c>
      <c r="N172" s="212">
        <v>3000</v>
      </c>
    </row>
    <row r="173" spans="13:18">
      <c r="M173" s="211" t="s">
        <v>395</v>
      </c>
      <c r="N173" s="212">
        <v>1200</v>
      </c>
    </row>
    <row r="174" spans="13:18" ht="15" thickBot="1">
      <c r="M174" s="221" t="s">
        <v>396</v>
      </c>
      <c r="N174" s="224">
        <v>800</v>
      </c>
      <c r="R174" s="321"/>
    </row>
    <row r="175" spans="13:18">
      <c r="R175" s="322"/>
    </row>
  </sheetData>
  <mergeCells count="12">
    <mergeCell ref="X45:Y45"/>
    <mergeCell ref="Z45:AA45"/>
    <mergeCell ref="E1:M1"/>
    <mergeCell ref="E29:G29"/>
    <mergeCell ref="E38:F38"/>
    <mergeCell ref="R45:R46"/>
    <mergeCell ref="S45:S46"/>
    <mergeCell ref="E51:F51"/>
    <mergeCell ref="U45:U46"/>
    <mergeCell ref="T45:T46"/>
    <mergeCell ref="V45:V46"/>
    <mergeCell ref="W45:W46"/>
  </mergeCells>
  <pageMargins left="0.75" right="0.75" top="1" bottom="1" header="0.5" footer="0.5"/>
  <pageSetup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10</vt:i4>
      </vt:variant>
      <vt:variant>
        <vt:lpstr>Named Ranges</vt:lpstr>
      </vt:variant>
      <vt:variant>
        <vt:i4>59</vt:i4>
      </vt:variant>
    </vt:vector>
  </HeadingPairs>
  <TitlesOfParts>
    <vt:vector size="69" baseType="lpstr">
      <vt:lpstr>Workbook Description</vt:lpstr>
      <vt:lpstr>Cover</vt:lpstr>
      <vt:lpstr>Change Log</vt:lpstr>
      <vt:lpstr>Objectives</vt:lpstr>
      <vt:lpstr>Attitude Control - Torques</vt:lpstr>
      <vt:lpstr>Modes</vt:lpstr>
      <vt:lpstr>Attitude Control - Sizing</vt:lpstr>
      <vt:lpstr>ProductTreeMain</vt:lpstr>
      <vt:lpstr>Trade_off</vt:lpstr>
      <vt:lpstr>Constants</vt:lpstr>
      <vt:lpstr>Constants!Boltzmann_Constant</vt:lpstr>
      <vt:lpstr>c0</vt:lpstr>
      <vt:lpstr>Current_Magnetic_Torquer</vt:lpstr>
      <vt:lpstr>Constants!Earth_J2</vt:lpstr>
      <vt:lpstr>Constants!Earth_Mag_Moment</vt:lpstr>
      <vt:lpstr>Earth_Mag_Moment</vt:lpstr>
      <vt:lpstr>Constants!Earth_Mu</vt:lpstr>
      <vt:lpstr>Earth_Mu</vt:lpstr>
      <vt:lpstr>Earth_OrbitRadius</vt:lpstr>
      <vt:lpstr>Earth_OrbPeriod</vt:lpstr>
      <vt:lpstr>Constants!Earth_Radius</vt:lpstr>
      <vt:lpstr>Earth_Radius</vt:lpstr>
      <vt:lpstr>Earth_SidDay</vt:lpstr>
      <vt:lpstr>Earth_SolarDay</vt:lpstr>
      <vt:lpstr>Constants!Earth_Vel</vt:lpstr>
      <vt:lpstr>Magnetic_Torquer_Mass</vt:lpstr>
      <vt:lpstr>Max_Solar_Flux</vt:lpstr>
      <vt:lpstr>Maximum_slewing_angle</vt:lpstr>
      <vt:lpstr>Minimum_maneuver_time</vt:lpstr>
      <vt:lpstr>Momentum_Wheel_Mass</vt:lpstr>
      <vt:lpstr>mu</vt:lpstr>
      <vt:lpstr>Constants!Planck_Constant</vt:lpstr>
      <vt:lpstr>Planet_Albedo</vt:lpstr>
      <vt:lpstr>Planet_J2</vt:lpstr>
      <vt:lpstr>Planet_Mag_Moment</vt:lpstr>
      <vt:lpstr>Planet_MaxIR</vt:lpstr>
      <vt:lpstr>Planet_MinIR</vt:lpstr>
      <vt:lpstr>Planet_MoonNode</vt:lpstr>
      <vt:lpstr>Planet_MoonPer</vt:lpstr>
      <vt:lpstr>Planet_Mu</vt:lpstr>
      <vt:lpstr>Planet_OrbitRadius</vt:lpstr>
      <vt:lpstr>Planet_OrbPeriod</vt:lpstr>
      <vt:lpstr>Planet_Radius</vt:lpstr>
      <vt:lpstr>Planet_SidDay</vt:lpstr>
      <vt:lpstr>Planet_SolarDay</vt:lpstr>
      <vt:lpstr>Planet_SunNode</vt:lpstr>
      <vt:lpstr>Planet_SunPer</vt:lpstr>
      <vt:lpstr>Planet_Vel</vt:lpstr>
      <vt:lpstr>plank</vt:lpstr>
      <vt:lpstr>RadToDeg</vt:lpstr>
      <vt:lpstr>Constants!Rain_Temp</vt:lpstr>
      <vt:lpstr>Re</vt:lpstr>
      <vt:lpstr>Reaction_Wheel_Mass</vt:lpstr>
      <vt:lpstr>Reaction_Wheel_Power</vt:lpstr>
      <vt:lpstr>Constants!Solar_Flux</vt:lpstr>
      <vt:lpstr>Solar_Flux</vt:lpstr>
      <vt:lpstr>Constants!Speed_of_Light</vt:lpstr>
      <vt:lpstr>Speed_of_Light</vt:lpstr>
      <vt:lpstr>Constants!Stefan_Boltzmann_Constant</vt:lpstr>
      <vt:lpstr>Stefan_Boltzmann_Constants</vt:lpstr>
      <vt:lpstr>Sun_Mu</vt:lpstr>
      <vt:lpstr>Thruster_Mass</vt:lpstr>
      <vt:lpstr>Thruster_Power</vt:lpstr>
      <vt:lpstr>Thrusters_Propellant_Mass</vt:lpstr>
      <vt:lpstr>Total_Mass_ADCS_actuators</vt:lpstr>
      <vt:lpstr>Total_Mass_ADCS_Sensors</vt:lpstr>
      <vt:lpstr>Total_Power_ADCS_actuators</vt:lpstr>
      <vt:lpstr>Total_Power_ADCS_Sensors</vt:lpstr>
      <vt:lpstr>ve</vt:lpstr>
    </vt:vector>
  </TitlesOfParts>
  <Company>ISU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Paulo Esteves</dc:creator>
  <cp:lastModifiedBy>Teacher</cp:lastModifiedBy>
  <cp:lastPrinted>2010-02-25T16:03:13Z</cp:lastPrinted>
  <dcterms:created xsi:type="dcterms:W3CDTF">2009-07-15T15:51:05Z</dcterms:created>
  <dcterms:modified xsi:type="dcterms:W3CDTF">2019-11-06T10:31:07Z</dcterms:modified>
</cp:coreProperties>
</file>